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2465"/>
  </bookViews>
  <sheets>
    <sheet name="Retirement" sheetId="1" r:id="rId1"/>
  </sheets>
  <definedNames>
    <definedName name="_xlnm.Print_Area" localSheetId="0">Retirement!$A$1:$K$205</definedName>
    <definedName name="_xlnm.Print_Titles" localSheetId="0">Retirement!$47:$47</definedName>
    <definedName name="solver_adj" localSheetId="0" hidden="1">Retirement!$E$15,Retirement!#REF!,Retirement!$K$14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Retirement!#REF!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1000</definedName>
    <definedName name="valuevx">42.314159</definedName>
    <definedName name="vertex42_copyright" hidden="1">"© 2015-2016 Vertex42 LLC"</definedName>
    <definedName name="vertex42_id" hidden="1">"retirement-calculator.xlsx"</definedName>
    <definedName name="vertex42_title" hidden="1">"Retirement Calculator"</definedName>
  </definedNames>
  <calcPr calcId="144525"/>
</workbook>
</file>

<file path=xl/comments1.xml><?xml version="1.0" encoding="utf-8"?>
<comments xmlns="http://schemas.openxmlformats.org/spreadsheetml/2006/main">
  <authors>
    <author>Jon</author>
  </authors>
  <commentList>
    <comment ref="D43" authorId="0">
      <text>
        <r>
          <rPr>
            <b/>
            <sz val="8"/>
            <rFont val="Tahoma"/>
            <charset val="134"/>
          </rPr>
          <t>Payments Per Year:</t>
        </r>
        <r>
          <rPr>
            <sz val="8"/>
            <rFont val="Tahoma"/>
            <charset val="134"/>
          </rPr>
          <t xml:space="preserve">
The number of contributions per year. This would normally be based on how often you receive your paycheck.
12 = Monthly
24 = Semi-Monthly (twice per month)
26 = Bi-Weekly (once every two weeks)
52 = Weekly
13 = Every 4 weeks
4 = Quarterly (four times per year)
2 = Semi-annually
1 = Annually</t>
        </r>
      </text>
    </comment>
    <comment ref="D44" authorId="0">
      <text>
        <r>
          <rPr>
            <b/>
            <sz val="8"/>
            <rFont val="Tahoma"/>
            <charset val="134"/>
          </rPr>
          <t>Withdrawal Payment Type:</t>
        </r>
        <r>
          <rPr>
            <sz val="8"/>
            <rFont val="Tahoma"/>
            <charset val="134"/>
          </rPr>
          <t xml:space="preserve">
0 : End of Period
1 : Beginning of Period</t>
        </r>
      </text>
    </comment>
  </commentList>
</comments>
</file>

<file path=xl/sharedStrings.xml><?xml version="1.0" encoding="utf-8"?>
<sst xmlns="http://schemas.openxmlformats.org/spreadsheetml/2006/main" count="89" uniqueCount="78">
  <si>
    <t>Retirement Calculator</t>
  </si>
  <si>
    <t>◄ Unhide rows 3-6 for a "Prepared By" header</t>
  </si>
  <si>
    <t>For:</t>
  </si>
  <si>
    <t>Prepared By:</t>
  </si>
  <si>
    <t>LOGO</t>
  </si>
  <si>
    <t>[Address, City, ST ZIP]</t>
  </si>
  <si>
    <t>Phone: [Phone]</t>
  </si>
  <si>
    <t>Email: [Email]</t>
  </si>
  <si>
    <t>Plan Information</t>
  </si>
  <si>
    <t>Retirement Needs</t>
  </si>
  <si>
    <t>Current Age</t>
  </si>
  <si>
    <t>Salary During Retirement (in today's dollars)</t>
  </si>
  <si>
    <t>Age at Retirement</t>
  </si>
  <si>
    <t>Inflation-Adjusted Salary at Retirement</t>
  </si>
  <si>
    <t>Years to Pay Out</t>
  </si>
  <si>
    <t>Total Needed to Fund 100% of Retirement</t>
  </si>
  <si>
    <t>Years to Invest</t>
  </si>
  <si>
    <t>Current Retirement Savings</t>
  </si>
  <si>
    <t>Rates and Inflation</t>
  </si>
  <si>
    <t>Current Retirement Savings Balance</t>
  </si>
  <si>
    <t>Return During Accumulation</t>
  </si>
  <si>
    <t>Value of Current Savings at Retirement</t>
  </si>
  <si>
    <t>Notes</t>
  </si>
  <si>
    <t>Return After Retirement</t>
  </si>
  <si>
    <t>Value of Current Contributions at Retirement</t>
  </si>
  <si>
    <t>• Taxes and IRS Contribution Limits are NOT</t>
  </si>
  <si>
    <t>Annual Inflation</t>
  </si>
  <si>
    <t>factored into any of these calculations. For example,</t>
  </si>
  <si>
    <t>Other Retirement Income</t>
  </si>
  <si>
    <t>this calculator does not take into account whether</t>
  </si>
  <si>
    <t>Salary</t>
  </si>
  <si>
    <t>Age When Income Begins</t>
  </si>
  <si>
    <t>contributions are pre-tax as in a traditional IRA or</t>
  </si>
  <si>
    <t>Current Annual Salary</t>
  </si>
  <si>
    <t>Initial Annual Amount</t>
  </si>
  <si>
    <t>post-tax as in a ROTH IRA.</t>
  </si>
  <si>
    <t>Annual Increase in Salary</t>
  </si>
  <si>
    <t>Annual Increase</t>
  </si>
  <si>
    <t>Years of Income Payout</t>
  </si>
  <si>
    <t>• Mandatory disbursements and other regulations</t>
  </si>
  <si>
    <t>Current Savings Contributions</t>
  </si>
  <si>
    <t>Value of Other Income at Retirement</t>
  </si>
  <si>
    <t>are not accounted for.</t>
  </si>
  <si>
    <t>% of Salary Saved</t>
  </si>
  <si>
    <t>Employer Match</t>
  </si>
  <si>
    <t>Other Assets (Pension, Sellable Real Estate)</t>
  </si>
  <si>
    <t>• Results are only rough estimates, largely because</t>
  </si>
  <si>
    <t>Max Employee % Contribution</t>
  </si>
  <si>
    <t>Value of Other Assets at Retirement</t>
  </si>
  <si>
    <t>of uncertainty in the rates of return, inflation, future</t>
  </si>
  <si>
    <t>Current Annual Contributions</t>
  </si>
  <si>
    <t>salary, willpower to continue saving, unexpected life</t>
  </si>
  <si>
    <t>Shortfall at Retirement</t>
  </si>
  <si>
    <t>events, and other assumptions.</t>
  </si>
  <si>
    <t>Years Payout Will Last Without Additional Savings</t>
  </si>
  <si>
    <t>Additional Annual Savings Needed</t>
  </si>
  <si>
    <t>• Interest compounds based on the number of</t>
  </si>
  <si>
    <t>Total % of Salary to Save to Reach Goal</t>
  </si>
  <si>
    <t>Payments per Year, which is 1 in this spreadsheet.</t>
  </si>
  <si>
    <t>• This spreadsheet and its contents should not be</t>
  </si>
  <si>
    <t>construed as professional financial advice. It may not</t>
  </si>
  <si>
    <t>be suitable for your specific situation.</t>
  </si>
  <si>
    <t>Series 1</t>
  </si>
  <si>
    <t>Series 2</t>
  </si>
  <si>
    <t>Payments Per Year</t>
  </si>
  <si>
    <t>Withdrawal Payment Type</t>
  </si>
  <si>
    <r>
      <t>Note:</t>
    </r>
    <r>
      <rPr>
        <sz val="10"/>
        <rFont val="Arial"/>
        <charset val="134"/>
      </rPr>
      <t xml:space="preserve"> Results are only estimates!</t>
    </r>
  </si>
  <si>
    <t>Year</t>
  </si>
  <si>
    <t>Age</t>
  </si>
  <si>
    <t>Return</t>
  </si>
  <si>
    <r>
      <t xml:space="preserve">Salary </t>
    </r>
    <r>
      <rPr>
        <sz val="10"/>
        <rFont val="Arial"/>
        <charset val="134"/>
      </rPr>
      <t>Basis</t>
    </r>
  </si>
  <si>
    <r>
      <t xml:space="preserve">Annual </t>
    </r>
    <r>
      <rPr>
        <sz val="10"/>
        <rFont val="Arial"/>
        <charset val="134"/>
      </rPr>
      <t>Contribution</t>
    </r>
  </si>
  <si>
    <r>
      <t xml:space="preserve">Employer </t>
    </r>
    <r>
      <rPr>
        <sz val="10"/>
        <rFont val="Arial"/>
        <charset val="134"/>
      </rPr>
      <t>Match</t>
    </r>
  </si>
  <si>
    <t>Retirement Income</t>
  </si>
  <si>
    <r>
      <t xml:space="preserve">Payout
</t>
    </r>
    <r>
      <rPr>
        <sz val="10"/>
        <rFont val="Arial"/>
        <charset val="134"/>
      </rPr>
      <t>(Withdrawal)</t>
    </r>
  </si>
  <si>
    <t>Est. Inv. Return</t>
  </si>
  <si>
    <t>Balance</t>
  </si>
  <si>
    <r>
      <t xml:space="preserve">Interest
</t>
    </r>
    <r>
      <rPr>
        <sz val="10"/>
        <rFont val="Arial"/>
        <charset val="134"/>
      </rPr>
      <t>Earned</t>
    </r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</si>
</sst>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176" formatCode="&quot;$&quot;#,##0.00_);[Red]\(&quot;$&quot;#,##0.00\)"/>
    <numFmt numFmtId="177" formatCode="_(&quot;$&quot;* #,##0.00_);_(&quot;$&quot;* \(#,##0.00\);_(&quot;$&quot;* &quot;-&quot;??_);_(@_)"/>
    <numFmt numFmtId="178" formatCode="_(* #,##0.00_);_(* \(#,##0.00\);_(* &quot;-&quot;??_);_(@_)"/>
    <numFmt numFmtId="179" formatCode="#,##0.0_);\(#,##0.0\)"/>
    <numFmt numFmtId="180" formatCode="#,##0_);[Color10]\(#,##0\)"/>
    <numFmt numFmtId="181" formatCode="0.00000"/>
    <numFmt numFmtId="182" formatCode="&quot;$&quot;* #,##0.00;&quot;$&quot;* \-#,##0.00;&quot;$&quot;* &quot;-&quot;??;@"/>
  </numFmts>
  <fonts count="47">
    <font>
      <sz val="10"/>
      <name val="Tahoma"/>
      <charset val="134"/>
    </font>
    <font>
      <b/>
      <sz val="18"/>
      <color theme="0"/>
      <name val="Arial"/>
      <charset val="134"/>
    </font>
    <font>
      <sz val="10"/>
      <name val="Arial"/>
      <charset val="134"/>
    </font>
    <font>
      <sz val="12"/>
      <name val="Arial"/>
      <charset val="134"/>
    </font>
    <font>
      <u/>
      <sz val="10"/>
      <color indexed="12"/>
      <name val="Arial"/>
      <charset val="134"/>
    </font>
    <font>
      <b/>
      <sz val="12"/>
      <color indexed="9"/>
      <name val="Arial"/>
      <charset val="134"/>
    </font>
    <font>
      <b/>
      <sz val="12"/>
      <name val="Arial"/>
      <charset val="134"/>
    </font>
    <font>
      <sz val="11"/>
      <name val="Arial"/>
      <charset val="134"/>
    </font>
    <font>
      <i/>
      <sz val="10"/>
      <color theme="5" tint="-0.499984740745262"/>
      <name val="Arial"/>
      <charset val="134"/>
    </font>
    <font>
      <b/>
      <i/>
      <sz val="10"/>
      <color indexed="23"/>
      <name val="Arial"/>
      <charset val="134"/>
    </font>
    <font>
      <i/>
      <sz val="10"/>
      <color theme="4" tint="-0.499984740745262"/>
      <name val="Arial"/>
      <charset val="134"/>
    </font>
    <font>
      <sz val="10"/>
      <color theme="4" tint="-0.499984740745262"/>
      <name val="Arial"/>
      <charset val="134"/>
    </font>
    <font>
      <i/>
      <sz val="10"/>
      <color rgb="FFFF0000"/>
      <name val="Arial"/>
      <charset val="134"/>
    </font>
    <font>
      <sz val="10"/>
      <color theme="1" tint="0.499984740745262"/>
      <name val="Arial"/>
      <charset val="134"/>
    </font>
    <font>
      <sz val="11"/>
      <color theme="1" tint="0.499984740745262"/>
      <name val="Arial"/>
      <charset val="134"/>
    </font>
    <font>
      <b/>
      <sz val="10"/>
      <name val="Arial"/>
      <charset val="134"/>
    </font>
    <font>
      <sz val="8"/>
      <name val="Arial"/>
      <charset val="134"/>
    </font>
    <font>
      <i/>
      <sz val="8"/>
      <name val="Arial"/>
      <charset val="134"/>
    </font>
    <font>
      <sz val="10"/>
      <color theme="4" tint="-0.249977111117893"/>
      <name val="Arial"/>
      <charset val="134"/>
    </font>
    <font>
      <u/>
      <sz val="10"/>
      <color rgb="FF800080"/>
      <name val="Arial"/>
      <charset val="134"/>
    </font>
    <font>
      <sz val="9"/>
      <name val="Arial"/>
      <charset val="134"/>
    </font>
    <font>
      <b/>
      <i/>
      <sz val="10"/>
      <name val="Arial"/>
      <charset val="134"/>
    </font>
    <font>
      <b/>
      <i/>
      <sz val="10"/>
      <color theme="5"/>
      <name val="Arial"/>
      <charset val="134"/>
    </font>
    <font>
      <b/>
      <sz val="10"/>
      <color theme="4" tint="-0.249977111117893"/>
      <name val="Arial"/>
      <charset val="134"/>
    </font>
    <font>
      <b/>
      <sz val="10"/>
      <color theme="6" tint="-0.249977111117893"/>
      <name val="Arial"/>
      <charset val="134"/>
    </font>
    <font>
      <b/>
      <sz val="11"/>
      <name val="Arial"/>
      <charset val="134"/>
    </font>
    <font>
      <sz val="8"/>
      <name val="Tahoma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8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45066682943"/>
      </bottom>
      <diagonal/>
    </border>
    <border>
      <left/>
      <right/>
      <top/>
      <bottom style="medium">
        <color theme="5" tint="0.39994506668294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42" fontId="36" fillId="0" borderId="0" applyFont="0" applyFill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3" borderId="14" applyNumberFormat="0" applyAlignment="0" applyProtection="0">
      <alignment vertical="center"/>
    </xf>
    <xf numFmtId="177" fontId="2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178" fontId="2" fillId="0" borderId="0" applyFont="0" applyFill="0" applyBorder="0" applyAlignment="0" applyProtection="0"/>
    <xf numFmtId="0" fontId="27" fillId="2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36" fillId="21" borderId="13" applyNumberFormat="0" applyFon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44" fillId="15" borderId="14" applyNumberFormat="0" applyAlignment="0" applyProtection="0">
      <alignment vertical="center"/>
    </xf>
    <xf numFmtId="0" fontId="30" fillId="16" borderId="10" applyNumberFormat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</cellStyleXfs>
  <cellXfs count="7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4" fillId="0" borderId="0" xfId="10" applyFont="1" applyAlignment="1" applyProtection="1">
      <alignment horizontal="left"/>
    </xf>
    <xf numFmtId="0" fontId="2" fillId="0" borderId="0" xfId="0" applyFont="1"/>
    <xf numFmtId="0" fontId="5" fillId="2" borderId="2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3" borderId="3" xfId="0" applyFont="1" applyFill="1" applyBorder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right" vertical="center" indent="1"/>
    </xf>
    <xf numFmtId="0" fontId="7" fillId="0" borderId="4" xfId="0" applyFont="1" applyBorder="1" applyAlignment="1" applyProtection="1">
      <alignment horizontal="right" indent="1"/>
      <protection locked="0"/>
    </xf>
    <xf numFmtId="0" fontId="2" fillId="5" borderId="0" xfId="0" applyFont="1" applyFill="1"/>
    <xf numFmtId="0" fontId="7" fillId="0" borderId="5" xfId="0" applyFont="1" applyBorder="1" applyAlignment="1" applyProtection="1">
      <alignment horizontal="right" indent="1"/>
      <protection locked="0"/>
    </xf>
    <xf numFmtId="0" fontId="7" fillId="4" borderId="0" xfId="0" applyFont="1" applyFill="1" applyAlignment="1">
      <alignment horizontal="right" indent="1"/>
    </xf>
    <xf numFmtId="0" fontId="8" fillId="6" borderId="0" xfId="0" applyFont="1" applyFill="1"/>
    <xf numFmtId="0" fontId="9" fillId="6" borderId="0" xfId="0" applyFont="1" applyFill="1" applyAlignment="1">
      <alignment horizontal="right" vertical="center" indent="1"/>
    </xf>
    <xf numFmtId="0" fontId="10" fillId="7" borderId="0" xfId="0" applyFont="1" applyFill="1"/>
    <xf numFmtId="0" fontId="2" fillId="7" borderId="0" xfId="0" applyFont="1" applyFill="1" applyAlignment="1">
      <alignment horizontal="right" vertical="center" indent="1"/>
    </xf>
    <xf numFmtId="10" fontId="7" fillId="0" borderId="5" xfId="11" applyNumberFormat="1" applyFont="1" applyBorder="1" applyAlignment="1" applyProtection="1">
      <alignment horizontal="right"/>
      <protection locked="0"/>
    </xf>
    <xf numFmtId="10" fontId="7" fillId="0" borderId="4" xfId="11" applyNumberFormat="1" applyFont="1" applyBorder="1" applyAlignment="1" applyProtection="1">
      <alignment horizontal="right"/>
      <protection locked="0"/>
    </xf>
    <xf numFmtId="10" fontId="2" fillId="0" borderId="0" xfId="11" applyNumberFormat="1" applyFont="1"/>
    <xf numFmtId="176" fontId="2" fillId="5" borderId="0" xfId="0" applyNumberFormat="1" applyFont="1" applyFill="1" applyAlignment="1">
      <alignment horizontal="left"/>
    </xf>
    <xf numFmtId="37" fontId="7" fillId="0" borderId="5" xfId="4" applyNumberFormat="1" applyFont="1" applyBorder="1" applyAlignment="1" applyProtection="1">
      <alignment horizontal="right" vertical="center"/>
      <protection locked="0"/>
    </xf>
    <xf numFmtId="176" fontId="2" fillId="0" borderId="0" xfId="0" applyNumberFormat="1" applyFont="1" applyAlignment="1">
      <alignment horizontal="left"/>
    </xf>
    <xf numFmtId="0" fontId="11" fillId="4" borderId="0" xfId="0" applyFont="1" applyFill="1" applyAlignment="1">
      <alignment horizontal="right" vertical="center" indent="1"/>
    </xf>
    <xf numFmtId="37" fontId="7" fillId="4" borderId="0" xfId="4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 indent="1"/>
    </xf>
    <xf numFmtId="37" fontId="12" fillId="4" borderId="0" xfId="4" applyNumberFormat="1" applyFont="1" applyFill="1" applyAlignment="1">
      <alignment horizontal="right" vertical="center"/>
    </xf>
    <xf numFmtId="0" fontId="2" fillId="8" borderId="0" xfId="0" applyFont="1" applyFill="1"/>
    <xf numFmtId="0" fontId="2" fillId="0" borderId="0" xfId="0" applyFont="1" applyAlignment="1">
      <alignment horizontal="right" vertical="center" indent="1"/>
    </xf>
    <xf numFmtId="0" fontId="2" fillId="0" borderId="0" xfId="0" applyFont="1" applyAlignment="1">
      <alignment horizontal="right" vertical="center" indent="1"/>
    </xf>
    <xf numFmtId="179" fontId="7" fillId="0" borderId="0" xfId="4" applyNumberFormat="1" applyFont="1" applyAlignment="1">
      <alignment horizontal="right" vertical="center"/>
    </xf>
    <xf numFmtId="0" fontId="2" fillId="9" borderId="0" xfId="0" applyFont="1" applyFill="1"/>
    <xf numFmtId="10" fontId="2" fillId="9" borderId="0" xfId="11" applyNumberFormat="1" applyFont="1" applyFill="1"/>
    <xf numFmtId="0" fontId="13" fillId="0" borderId="0" xfId="0" applyFont="1"/>
    <xf numFmtId="0" fontId="13" fillId="0" borderId="0" xfId="0" applyFont="1" applyAlignment="1">
      <alignment horizontal="right" vertical="center" indent="1"/>
    </xf>
    <xf numFmtId="0" fontId="14" fillId="0" borderId="0" xfId="0" applyFont="1" applyAlignment="1" applyProtection="1">
      <alignment horizontal="center"/>
      <protection locked="0"/>
    </xf>
    <xf numFmtId="0" fontId="15" fillId="0" borderId="0" xfId="0" applyFont="1"/>
    <xf numFmtId="0" fontId="15" fillId="7" borderId="6" xfId="0" applyFont="1" applyFill="1" applyBorder="1" applyAlignment="1">
      <alignment horizontal="center" wrapText="1"/>
    </xf>
    <xf numFmtId="0" fontId="2" fillId="7" borderId="6" xfId="0" applyFont="1" applyFill="1" applyBorder="1" applyAlignment="1">
      <alignment horizontal="center" wrapText="1"/>
    </xf>
    <xf numFmtId="0" fontId="16" fillId="4" borderId="0" xfId="0" applyFont="1" applyFill="1" applyAlignment="1">
      <alignment horizontal="center"/>
    </xf>
    <xf numFmtId="177" fontId="16" fillId="4" borderId="0" xfId="4" applyFont="1" applyFill="1" applyAlignment="1">
      <alignment horizontal="center"/>
    </xf>
    <xf numFmtId="0" fontId="16" fillId="0" borderId="0" xfId="0" applyFont="1" applyAlignment="1">
      <alignment horizontal="center"/>
    </xf>
    <xf numFmtId="10" fontId="16" fillId="0" borderId="0" xfId="11" applyNumberFormat="1" applyFont="1" applyAlignment="1">
      <alignment horizontal="center"/>
    </xf>
    <xf numFmtId="3" fontId="17" fillId="0" borderId="0" xfId="8" applyNumberFormat="1" applyFont="1" applyAlignment="1">
      <alignment horizontal="right"/>
    </xf>
    <xf numFmtId="3" fontId="16" fillId="0" borderId="0" xfId="8" applyNumberFormat="1" applyFont="1" applyAlignment="1">
      <alignment horizontal="right"/>
    </xf>
    <xf numFmtId="0" fontId="18" fillId="0" borderId="0" xfId="0" applyFont="1"/>
    <xf numFmtId="0" fontId="19" fillId="0" borderId="0" xfId="10" applyFont="1" applyAlignment="1" applyProtection="1">
      <alignment horizontal="left"/>
    </xf>
    <xf numFmtId="0" fontId="2" fillId="5" borderId="0" xfId="0" applyFont="1" applyFill="1" applyAlignment="1">
      <alignment horizontal="right" vertical="center" indent="1"/>
    </xf>
    <xf numFmtId="37" fontId="7" fillId="10" borderId="5" xfId="4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Alignment="1">
      <alignment horizontal="left"/>
    </xf>
    <xf numFmtId="0" fontId="21" fillId="5" borderId="0" xfId="0" applyFont="1" applyFill="1" applyAlignment="1">
      <alignment horizontal="right" vertical="center" indent="1"/>
    </xf>
    <xf numFmtId="0" fontId="2" fillId="5" borderId="0" xfId="0" applyFont="1" applyFill="1" applyAlignment="1">
      <alignment horizontal="right" indent="1"/>
    </xf>
    <xf numFmtId="37" fontId="7" fillId="5" borderId="0" xfId="4" applyNumberFormat="1" applyFont="1" applyFill="1" applyAlignment="1">
      <alignment horizontal="right" vertical="center"/>
    </xf>
    <xf numFmtId="0" fontId="22" fillId="6" borderId="0" xfId="0" applyFont="1" applyFill="1" applyAlignment="1">
      <alignment horizontal="right" vertical="center" indent="1"/>
    </xf>
    <xf numFmtId="0" fontId="23" fillId="0" borderId="7" xfId="0" applyFont="1" applyBorder="1"/>
    <xf numFmtId="37" fontId="2" fillId="5" borderId="0" xfId="0" applyNumberFormat="1" applyFont="1" applyFill="1"/>
    <xf numFmtId="0" fontId="24" fillId="0" borderId="0" xfId="0" applyFont="1" applyAlignment="1">
      <alignment horizontal="right"/>
    </xf>
    <xf numFmtId="0" fontId="15" fillId="8" borderId="0" xfId="0" applyFont="1" applyFill="1" applyAlignment="1">
      <alignment horizontal="right" indent="1"/>
    </xf>
    <xf numFmtId="180" fontId="25" fillId="11" borderId="0" xfId="4" applyNumberFormat="1" applyFont="1" applyFill="1" applyAlignment="1">
      <alignment horizontal="right" vertical="center"/>
    </xf>
    <xf numFmtId="0" fontId="2" fillId="9" borderId="0" xfId="0" applyFont="1" applyFill="1" applyAlignment="1">
      <alignment horizontal="right" indent="1"/>
    </xf>
    <xf numFmtId="179" fontId="7" fillId="8" borderId="0" xfId="4" applyNumberFormat="1" applyFont="1" applyFill="1" applyAlignment="1">
      <alignment horizontal="right" vertical="center"/>
    </xf>
    <xf numFmtId="180" fontId="7" fillId="8" borderId="0" xfId="4" applyNumberFormat="1" applyFont="1" applyFill="1" applyAlignment="1">
      <alignment horizontal="right" vertical="center"/>
    </xf>
    <xf numFmtId="10" fontId="7" fillId="8" borderId="0" xfId="11" applyNumberFormat="1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176" fontId="2" fillId="0" borderId="0" xfId="0" applyNumberFormat="1" applyFont="1" applyAlignment="1">
      <alignment horizontal="center"/>
    </xf>
    <xf numFmtId="181" fontId="15" fillId="0" borderId="0" xfId="0" applyNumberFormat="1" applyFont="1" applyAlignment="1">
      <alignment horizontal="right"/>
    </xf>
    <xf numFmtId="0" fontId="15" fillId="7" borderId="6" xfId="0" applyFont="1" applyFill="1" applyBorder="1" applyAlignment="1">
      <alignment horizontal="right" wrapText="1"/>
    </xf>
    <xf numFmtId="182" fontId="16" fillId="4" borderId="0" xfId="4" applyNumberFormat="1" applyFont="1" applyFill="1" applyAlignment="1">
      <alignment horizontal="center"/>
    </xf>
    <xf numFmtId="4" fontId="16" fillId="0" borderId="0" xfId="8" applyNumberFormat="1" applyFont="1" applyAlignment="1">
      <alignment horizontal="right"/>
    </xf>
    <xf numFmtId="177" fontId="2" fillId="0" borderId="0" xfId="0" applyNumberFormat="1" applyFont="1"/>
    <xf numFmtId="0" fontId="2" fillId="12" borderId="0" xfId="0" applyFont="1" applyFill="1"/>
    <xf numFmtId="0" fontId="26" fillId="0" borderId="0" xfId="0" applyFont="1" applyAlignment="1">
      <alignment horizontal="center"/>
    </xf>
    <xf numFmtId="10" fontId="26" fillId="0" borderId="0" xfId="11" applyNumberFormat="1" applyFont="1" applyAlignment="1">
      <alignment horizontal="center"/>
    </xf>
    <xf numFmtId="3" fontId="26" fillId="0" borderId="0" xfId="8" applyNumberFormat="1" applyFont="1" applyAlignment="1">
      <alignment horizontal="right"/>
    </xf>
    <xf numFmtId="0" fontId="0" fillId="12" borderId="0" xfId="0" applyFill="1"/>
    <xf numFmtId="4" fontId="26" fillId="0" borderId="0" xfId="8" applyNumberFormat="1" applyFon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theme="0"/>
      </font>
      <fill>
        <patternFill patternType="solid">
          <bgColor rgb="FFFF5050"/>
        </patternFill>
      </fill>
    </dxf>
    <dxf>
      <font>
        <color indexed="55"/>
      </font>
      <fill>
        <patternFill patternType="solid">
          <bgColor indexed="22"/>
        </patternFill>
      </fill>
    </dxf>
    <dxf>
      <font>
        <color theme="0"/>
      </font>
      <fill>
        <patternFill patternType="solid">
          <bgColor rgb="FFFF5050"/>
        </patternFill>
      </fill>
    </dxf>
    <dxf>
      <font>
        <color indexed="22"/>
      </font>
    </dxf>
    <dxf>
      <fill>
        <patternFill patternType="solid"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  <a:r>
              <a:rPr lang="en-US" sz="1200"/>
              <a:t>Retirement Savings Balance</a:t>
            </a:r>
            <a:endParaRPr lang="en-US" sz="1200"/>
          </a:p>
        </c:rich>
      </c:tx>
      <c:layout>
        <c:manualLayout>
          <c:xMode val="edge"/>
          <c:yMode val="edge"/>
          <c:x val="0.16970482090474"/>
          <c:y val="0.0343642611683849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253589624826"/>
          <c:y val="0.0593730551722272"/>
          <c:w val="0.821159809067984"/>
          <c:h val="0.792509312624582"/>
        </c:manualLayout>
      </c:layout>
      <c:scatterChart>
        <c:scatterStyle val="line"/>
        <c:varyColors val="0"/>
        <c:ser>
          <c:idx val="0"/>
          <c:order val="0"/>
          <c:tx>
            <c:strRef>
              <c:f>Retirement!$E$41</c:f>
              <c:strCache>
                <c:ptCount val="1"/>
                <c:pt idx="0">
                  <c:v>Goal: Saving 35.35% of Salary</c:v>
                </c:pt>
              </c:strCache>
            </c:strRef>
          </c:tx>
          <c:spPr>
            <a:ln w="25400" cap="rnd" cmpd="sng" algn="ctr">
              <a:solidFill>
                <a:srgbClr val="00008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errBars>
            <c:errDir val="y"/>
            <c:errBarType val="minus"/>
            <c:errValType val="percentage"/>
            <c:noEndCap val="1"/>
            <c:val val="100"/>
            <c:spPr>
              <a:ln w="38100" cap="flat" cmpd="sng" algn="ctr"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  <a:round/>
              </a:ln>
            </c:spPr>
          </c:errBars>
          <c:xVal>
            <c:numRef>
              <c:f>Retirement!$B$49:$B$123</c:f>
              <c:numCache>
                <c:formatCode>General</c:formatCode>
                <c:ptCount val="7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</c:numCache>
            </c:numRef>
          </c:xVal>
          <c:yVal>
            <c:numRef>
              <c:f>Retirement!$K$49:$K$123</c:f>
              <c:numCache>
                <c:formatCode>#,##0.00</c:formatCode>
                <c:ptCount val="75"/>
                <c:pt idx="0">
                  <c:v>40372.9987263946</c:v>
                </c:pt>
                <c:pt idx="1">
                  <c:v>62351.8373509007</c:v>
                </c:pt>
                <c:pt idx="2">
                  <c:v>86040.5354668957</c:v>
                </c:pt>
                <c:pt idx="3">
                  <c:v>111549.507227349</c:v>
                </c:pt>
                <c:pt idx="4">
                  <c:v>138995.948086079</c:v>
                </c:pt>
                <c:pt idx="5">
                  <c:v>168504.244804834</c:v>
                </c:pt>
                <c:pt idx="6">
                  <c:v>200206.410123386</c:v>
                </c:pt>
                <c:pt idx="7">
                  <c:v>234242.543573656</c:v>
                </c:pt>
                <c:pt idx="8">
                  <c:v>270761.3200078</c:v>
                </c:pt>
                <c:pt idx="9">
                  <c:v>309920.507504388</c:v>
                </c:pt>
                <c:pt idx="10">
                  <c:v>351887.516416692</c:v>
                </c:pt>
                <c:pt idx="11">
                  <c:v>396839.981432976</c:v>
                </c:pt>
                <c:pt idx="12">
                  <c:v>444966.378630863</c:v>
                </c:pt>
                <c:pt idx="13">
                  <c:v>496466.679626861</c:v>
                </c:pt>
                <c:pt idx="14">
                  <c:v>551553.045048182</c:v>
                </c:pt>
                <c:pt idx="15">
                  <c:v>610450.559687656</c:v>
                </c:pt>
                <c:pt idx="16">
                  <c:v>673398.011844231</c:v>
                </c:pt>
                <c:pt idx="17">
                  <c:v>740648.719501706</c:v>
                </c:pt>
                <c:pt idx="18">
                  <c:v>812471.406157566</c:v>
                </c:pt>
                <c:pt idx="19">
                  <c:v>889151.129282493</c:v>
                </c:pt>
                <c:pt idx="20">
                  <c:v>970990.264570025</c:v>
                </c:pt>
                <c:pt idx="21">
                  <c:v>1058309.54932542</c:v>
                </c:pt>
                <c:pt idx="22">
                  <c:v>1151449.18854376</c:v>
                </c:pt>
                <c:pt idx="23">
                  <c:v>1250770.02744038</c:v>
                </c:pt>
                <c:pt idx="24">
                  <c:v>1356654.79442248</c:v>
                </c:pt>
                <c:pt idx="25">
                  <c:v>1469509.41873022</c:v>
                </c:pt>
                <c:pt idx="26">
                  <c:v>1589764.42722927</c:v>
                </c:pt>
                <c:pt idx="27">
                  <c:v>1717876.42510576</c:v>
                </c:pt>
                <c:pt idx="28">
                  <c:v>1854329.6654997</c:v>
                </c:pt>
                <c:pt idx="29">
                  <c:v>1999637.71341503</c:v>
                </c:pt>
                <c:pt idx="30">
                  <c:v>2154345.20956499</c:v>
                </c:pt>
                <c:pt idx="31">
                  <c:v>2319029.74015084</c:v>
                </c:pt>
                <c:pt idx="32">
                  <c:v>2494303.81893209</c:v>
                </c:pt>
                <c:pt idx="33">
                  <c:v>2680816.98832765</c:v>
                </c:pt>
                <c:pt idx="34">
                  <c:v>2879258.04669214</c:v>
                </c:pt>
                <c:pt idx="35">
                  <c:v>3090357.40933979</c:v>
                </c:pt>
                <c:pt idx="36">
                  <c:v>3314889.61134323</c:v>
                </c:pt>
                <c:pt idx="37">
                  <c:v>3553675.96061574</c:v>
                </c:pt>
                <c:pt idx="38">
                  <c:v>3807587.35029643</c:v>
                </c:pt>
                <c:pt idx="39">
                  <c:v>4077547.23999884</c:v>
                </c:pt>
                <c:pt idx="40">
                  <c:v>4031878.71091085</c:v>
                </c:pt>
                <c:pt idx="41">
                  <c:v>3979800.27756158</c:v>
                </c:pt>
                <c:pt idx="42">
                  <c:v>3920968.44737154</c:v>
                </c:pt>
                <c:pt idx="43">
                  <c:v>3855024.8871203</c:v>
                </c:pt>
                <c:pt idx="44">
                  <c:v>3781595.84165134</c:v>
                </c:pt>
                <c:pt idx="45">
                  <c:v>3700291.53105583</c:v>
                </c:pt>
                <c:pt idx="46">
                  <c:v>3610705.52556711</c:v>
                </c:pt>
                <c:pt idx="47">
                  <c:v>3512414.09737112</c:v>
                </c:pt>
                <c:pt idx="48">
                  <c:v>3404975.54851036</c:v>
                </c:pt>
                <c:pt idx="49">
                  <c:v>3287929.51403031</c:v>
                </c:pt>
                <c:pt idx="50">
                  <c:v>3160796.23948781</c:v>
                </c:pt>
                <c:pt idx="51">
                  <c:v>3023075.83191012</c:v>
                </c:pt>
                <c:pt idx="52">
                  <c:v>2874247.48326224</c:v>
                </c:pt>
                <c:pt idx="53">
                  <c:v>2713768.66544676</c:v>
                </c:pt>
                <c:pt idx="54">
                  <c:v>2541074.29582743</c:v>
                </c:pt>
                <c:pt idx="55">
                  <c:v>2355575.87223202</c:v>
                </c:pt>
                <c:pt idx="56">
                  <c:v>2156660.57635465</c:v>
                </c:pt>
                <c:pt idx="57">
                  <c:v>1943690.34443963</c:v>
                </c:pt>
                <c:pt idx="58">
                  <c:v>1716000.90409099</c:v>
                </c:pt>
                <c:pt idx="59">
                  <c:v>1472900.77601143</c:v>
                </c:pt>
                <c:pt idx="60">
                  <c:v>1213670.23943342</c:v>
                </c:pt>
                <c:pt idx="61">
                  <c:v>937560.259962314</c:v>
                </c:pt>
                <c:pt idx="62">
                  <c:v>643791.378507455</c:v>
                </c:pt>
                <c:pt idx="63">
                  <c:v>331552.559931338</c:v>
                </c:pt>
                <c:pt idx="64">
                  <c:v>-3.20142135024071e-9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Retirement!$E$42</c:f>
              <c:strCache>
                <c:ptCount val="1"/>
                <c:pt idx="0">
                  <c:v>Current: Saving 10% of Salary</c:v>
                </c:pt>
              </c:strCache>
            </c:strRef>
          </c:tx>
          <c:spPr>
            <a:ln w="25400" cap="rnd" cmpd="sng" algn="ctr">
              <a:solidFill>
                <a:srgbClr val="C00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Retirement!$B$49:$B$123</c:f>
              <c:numCache>
                <c:formatCode>General</c:formatCode>
                <c:ptCount val="7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</c:numCache>
            </c:numRef>
          </c:xVal>
          <c:yVal>
            <c:numRef>
              <c:f>Retirement!$K$130:$K$204</c:f>
              <c:numCache>
                <c:formatCode>#,##0.00</c:formatCode>
                <c:ptCount val="75"/>
                <c:pt idx="0">
                  <c:v>27700</c:v>
                </c:pt>
                <c:pt idx="1">
                  <c:v>35992</c:v>
                </c:pt>
                <c:pt idx="2">
                  <c:v>44914.12</c:v>
                </c:pt>
                <c:pt idx="3">
                  <c:v>54506.8192</c:v>
                </c:pt>
                <c:pt idx="4">
                  <c:v>64813.037392</c:v>
                </c:pt>
                <c:pt idx="5">
                  <c:v>75878.3448563201</c:v>
                </c:pt>
                <c:pt idx="6">
                  <c:v>87751.1012729153</c:v>
                </c:pt>
                <c:pt idx="7">
                  <c:v>100482.624189011</c:v>
                </c:pt>
                <c:pt idx="8">
                  <c:v>114127.367616866</c:v>
                </c:pt>
                <c:pt idx="9">
                  <c:v>128743.111369923</c:v>
                </c:pt>
                <c:pt idx="10">
                  <c:v>144391.161782084</c:v>
                </c:pt>
                <c:pt idx="11">
                  <c:v>161136.564493575</c:v>
                </c:pt>
                <c:pt idx="12">
                  <c:v>179048.330027846</c:v>
                </c:pt>
                <c:pt idx="13">
                  <c:v>198199.672927466</c:v>
                </c:pt>
                <c:pt idx="14">
                  <c:v>218668.265263023</c:v>
                </c:pt>
                <c:pt idx="15">
                  <c:v>240536.505377911</c:v>
                </c:pt>
                <c:pt idx="16">
                  <c:v>263891.802783675</c:v>
                </c:pt>
                <c:pt idx="17">
                  <c:v>288826.880175446</c:v>
                </c:pt>
                <c:pt idx="18">
                  <c:v>315440.093595218</c:v>
                </c:pt>
                <c:pt idx="19">
                  <c:v>343835.771832362</c:v>
                </c:pt>
                <c:pt idx="20">
                  <c:v>374124.576216163</c:v>
                </c:pt>
                <c:pt idx="21">
                  <c:v>406423.882024469</c:v>
                </c:pt>
                <c:pt idx="22">
                  <c:v>440858.182805981</c:v>
                </c:pt>
                <c:pt idx="23">
                  <c:v>477559.518991584</c:v>
                </c:pt>
                <c:pt idx="24">
                  <c:v>516667.932252668</c:v>
                </c:pt>
                <c:pt idx="25">
                  <c:v>558331.947151849</c:v>
                </c:pt>
                <c:pt idx="26">
                  <c:v>602709.081724261</c:v>
                </c:pt>
                <c:pt idx="27">
                  <c:v>649966.388725884</c:v>
                </c:pt>
                <c:pt idx="28">
                  <c:v>700281.029389567</c:v>
                </c:pt>
                <c:pt idx="29">
                  <c:v>753840.881639875</c:v>
                </c:pt>
                <c:pt idx="30">
                  <c:v>810845.184834939</c:v>
                </c:pt>
                <c:pt idx="31">
                  <c:v>871505.223227641</c:v>
                </c:pt>
                <c:pt idx="32">
                  <c:v>936045.050469957</c:v>
                </c:pt>
                <c:pt idx="33">
                  <c:v>1004702.25762378</c:v>
                </c:pt>
                <c:pt idx="34">
                  <c:v>1077728.78728935</c:v>
                </c:pt>
                <c:pt idx="35">
                  <c:v>1155391.79661902</c:v>
                </c:pt>
                <c:pt idx="36">
                  <c:v>1237974.57215032</c:v>
                </c:pt>
                <c:pt idx="37">
                  <c:v>1325777.49956817</c:v>
                </c:pt>
                <c:pt idx="38">
                  <c:v>1419119.09169287</c:v>
                </c:pt>
                <c:pt idx="39">
                  <c:v>1518337.07818807</c:v>
                </c:pt>
                <c:pt idx="40">
                  <c:v>1395892.24424576</c:v>
                </c:pt>
                <c:pt idx="41">
                  <c:v>1264734.21689654</c:v>
                </c:pt>
                <c:pt idx="42">
                  <c:v>1124450.40488655</c:v>
                </c:pt>
                <c:pt idx="43">
                  <c:v>974611.303360749</c:v>
                </c:pt>
                <c:pt idx="44">
                  <c:v>814769.850379004</c:v>
                </c:pt>
                <c:pt idx="45">
                  <c:v>644460.76004533</c:v>
                </c:pt>
                <c:pt idx="46">
                  <c:v>463199.831426295</c:v>
                </c:pt>
                <c:pt idx="47">
                  <c:v>270483.232406077</c:v>
                </c:pt>
                <c:pt idx="48">
                  <c:v>65786.7575963615</c:v>
                </c:pt>
                <c:pt idx="49">
                  <c:v>-151434.940611102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48928"/>
        <c:axId val="190751104"/>
      </c:scatterChart>
      <c:valAx>
        <c:axId val="190748928"/>
        <c:scaling>
          <c:orientation val="minMax"/>
          <c:min val="2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1" i="0" u="none" strike="noStrike" kern="1200" baseline="0">
                    <a:solidFill>
                      <a:srgbClr val="000000"/>
                    </a:solidFill>
                    <a:latin typeface="Arial" panose="020B0604020202020204"/>
                    <a:ea typeface="Arial" panose="020B0604020202020204"/>
                    <a:cs typeface="Arial" panose="020B0604020202020204"/>
                  </a:defRPr>
                </a:pPr>
                <a:r>
                  <a:rPr lang="en-US"/>
                  <a:t>Age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56923633626679"/>
              <c:y val="0.9051776388776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90751104"/>
        <c:crosses val="autoZero"/>
        <c:crossBetween val="midCat"/>
      </c:valAx>
      <c:valAx>
        <c:axId val="190751104"/>
        <c:scaling>
          <c:orientation val="minMax"/>
        </c:scaling>
        <c:delete val="0"/>
        <c:axPos val="l"/>
        <c:numFmt formatCode="_(&quot;$&quot;* #,##0_);_(&quot;$&quot;* \(#,##0\);_(&quot;$&quot;* &quot;-&quot;??_);_(@_)" sourceLinked="0"/>
        <c:majorTickMark val="out"/>
        <c:minorTickMark val="none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rgbClr val="000000"/>
                </a:solidFill>
                <a:latin typeface="Arial" panose="020B0604020202020204"/>
                <a:ea typeface="Arial" panose="020B0604020202020204"/>
                <a:cs typeface="Arial" panose="020B0604020202020204"/>
              </a:defRPr>
            </a:pPr>
          </a:p>
        </c:txPr>
        <c:crossAx val="190748928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7528562606145"/>
          <c:y val="0.135477548978046"/>
          <c:w val="0.30095578585765"/>
          <c:h val="0.3303861951060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rgbClr val="000000"/>
              </a:solidFill>
              <a:latin typeface="Arial" panose="020B0604020202020204"/>
              <a:ea typeface="Arial" panose="020B0604020202020204"/>
              <a:cs typeface="Arial" panose="020B0604020202020204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</c:spPr>
  <c:txPr>
    <a:bodyPr/>
    <a:lstStyle/>
    <a:p>
      <a:pPr>
        <a:defRPr lang="zh-CN" sz="550" b="0" i="0" u="none" strike="noStrike" baseline="0">
          <a:solidFill>
            <a:srgbClr val="000000"/>
          </a:solidFill>
          <a:latin typeface="Arial" panose="020B0604020202020204"/>
          <a:ea typeface="Arial" panose="020B0604020202020204"/>
          <a:cs typeface="Arial" panose="020B0604020202020204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99060</xdr:colOff>
      <xdr:row>31</xdr:row>
      <xdr:rowOff>68580</xdr:rowOff>
    </xdr:from>
    <xdr:to>
      <xdr:col>10</xdr:col>
      <xdr:colOff>777240</xdr:colOff>
      <xdr:row>44</xdr:row>
      <xdr:rowOff>83820</xdr:rowOff>
    </xdr:to>
    <xdr:graphicFrame>
      <xdr:nvGraphicFramePr>
        <xdr:cNvPr id="1028" name="Chart 4"/>
        <xdr:cNvGraphicFramePr/>
      </xdr:nvGraphicFramePr>
      <xdr:xfrm>
        <a:off x="99060" y="5345430"/>
        <a:ext cx="6821805" cy="21583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V42-BlueGray">
      <a:dk1>
        <a:sysClr val="windowText" lastClr="000000"/>
      </a:dk1>
      <a:lt1>
        <a:sysClr val="window" lastClr="FFFFFF"/>
      </a:lt1>
      <a:dk2>
        <a:srgbClr val="3B4E87"/>
      </a:dk2>
      <a:lt2>
        <a:srgbClr val="EEECE2"/>
      </a:lt2>
      <a:accent1>
        <a:srgbClr val="5E8BCE"/>
      </a:accent1>
      <a:accent2>
        <a:srgbClr val="7F7F7F"/>
      </a:accent2>
      <a:accent3>
        <a:srgbClr val="26AA26"/>
      </a:accent3>
      <a:accent4>
        <a:srgbClr val="7860B4"/>
      </a:accent4>
      <a:accent5>
        <a:srgbClr val="C04E4E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5"/>
  <sheetViews>
    <sheetView showGridLines="0" tabSelected="1" workbookViewId="0">
      <selection activeCell="R27" sqref="R27"/>
    </sheetView>
  </sheetViews>
  <sheetFormatPr defaultColWidth="9.14285714285714" defaultRowHeight="12.75"/>
  <cols>
    <col min="1" max="1" width="6.42857142857143" customWidth="1"/>
    <col min="2" max="2" width="6.71428571428571" customWidth="1"/>
    <col min="3" max="3" width="7.57142857142857" customWidth="1"/>
    <col min="4" max="4" width="8.85714285714286" customWidth="1"/>
    <col min="5" max="5" width="13" customWidth="1"/>
    <col min="6" max="6" width="4.71428571428571" customWidth="1"/>
    <col min="7" max="7" width="11.5714285714286" customWidth="1"/>
    <col min="8" max="8" width="10.8571428571429" customWidth="1"/>
    <col min="9" max="9" width="12.1428571428571" customWidth="1"/>
    <col min="10" max="10" width="10.2857142857143" customWidth="1"/>
    <col min="11" max="11" width="15" customWidth="1"/>
    <col min="12" max="12" width="4.14285714285714" customWidth="1"/>
    <col min="13" max="13" width="37.8571428571429" customWidth="1"/>
    <col min="16" max="16" width="17.7142857142857" customWidth="1"/>
    <col min="17" max="17" width="11.2857142857143" customWidth="1"/>
  </cols>
  <sheetData>
    <row r="1" ht="30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</row>
    <row r="2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8" t="s">
        <v>1</v>
      </c>
      <c r="N2" s="2"/>
      <c r="O2" s="2"/>
    </row>
    <row r="3" ht="15" hidden="1" spans="1:15">
      <c r="A3" s="3" t="s">
        <v>2</v>
      </c>
      <c r="B3" s="4"/>
      <c r="C3" s="4"/>
      <c r="D3" s="4"/>
      <c r="E3" s="4"/>
      <c r="F3" s="2"/>
      <c r="G3" s="3" t="s">
        <v>3</v>
      </c>
      <c r="H3" s="4"/>
      <c r="I3" s="4"/>
      <c r="J3" s="2"/>
      <c r="K3" s="6" t="s">
        <v>4</v>
      </c>
      <c r="L3" s="2"/>
      <c r="M3" s="2"/>
      <c r="N3" s="2"/>
      <c r="O3" s="2"/>
    </row>
    <row r="4" hidden="1" spans="1:15">
      <c r="A4" s="5"/>
      <c r="B4" s="6" t="s">
        <v>5</v>
      </c>
      <c r="C4" s="2"/>
      <c r="D4" s="2"/>
      <c r="E4" s="2"/>
      <c r="F4" s="2"/>
      <c r="G4" s="2"/>
      <c r="H4" s="6" t="s">
        <v>5</v>
      </c>
      <c r="I4" s="2"/>
      <c r="J4" s="2"/>
      <c r="K4" s="2"/>
      <c r="L4" s="2"/>
      <c r="M4" s="2"/>
      <c r="N4" s="2"/>
      <c r="O4" s="2"/>
    </row>
    <row r="5" hidden="1" spans="1:15">
      <c r="A5" s="5"/>
      <c r="B5" s="2"/>
      <c r="C5" s="2"/>
      <c r="D5" s="2"/>
      <c r="E5" s="2"/>
      <c r="F5" s="2"/>
      <c r="G5" s="2"/>
      <c r="H5" s="6" t="s">
        <v>6</v>
      </c>
      <c r="I5" s="2"/>
      <c r="J5" s="2"/>
      <c r="K5" s="2"/>
      <c r="L5" s="2"/>
      <c r="M5" s="2"/>
      <c r="N5" s="2"/>
      <c r="O5" s="2"/>
    </row>
    <row r="6" hidden="1" spans="1:15">
      <c r="A6" s="5"/>
      <c r="B6" s="2"/>
      <c r="C6" s="2"/>
      <c r="D6" s="2"/>
      <c r="E6" s="2"/>
      <c r="F6" s="2"/>
      <c r="G6" s="2"/>
      <c r="H6" s="6" t="s">
        <v>7</v>
      </c>
      <c r="I6" s="2"/>
      <c r="J6" s="2"/>
      <c r="K6" s="2"/>
      <c r="L6" s="2"/>
      <c r="M6" s="2"/>
      <c r="N6" s="2"/>
      <c r="O6" s="2"/>
    </row>
    <row r="7" spans="1:15">
      <c r="A7" s="5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ht="16.5" spans="1:15">
      <c r="A8" s="7" t="s">
        <v>8</v>
      </c>
      <c r="B8" s="7"/>
      <c r="C8" s="7"/>
      <c r="D8" s="7"/>
      <c r="E8" s="7"/>
      <c r="F8" s="8"/>
      <c r="G8" s="9" t="s">
        <v>9</v>
      </c>
      <c r="H8" s="9"/>
      <c r="I8" s="9"/>
      <c r="J8" s="9"/>
      <c r="K8" s="9"/>
      <c r="L8" s="2"/>
      <c r="M8" s="49"/>
      <c r="N8" s="2"/>
      <c r="O8" s="2"/>
    </row>
    <row r="9" ht="15" customHeight="1" spans="1:15">
      <c r="A9" s="10"/>
      <c r="B9" s="11"/>
      <c r="C9" s="11"/>
      <c r="D9" s="11" t="s">
        <v>10</v>
      </c>
      <c r="E9" s="12">
        <v>25</v>
      </c>
      <c r="F9" s="2"/>
      <c r="G9" s="13"/>
      <c r="H9" s="13"/>
      <c r="I9" s="13"/>
      <c r="J9" s="50" t="s">
        <v>11</v>
      </c>
      <c r="K9" s="51">
        <v>50000</v>
      </c>
      <c r="L9" s="2"/>
      <c r="M9" s="52"/>
      <c r="N9" s="2"/>
      <c r="O9" s="2"/>
    </row>
    <row r="10" ht="15" customHeight="1" spans="1:15">
      <c r="A10" s="10"/>
      <c r="B10" s="11"/>
      <c r="C10" s="11"/>
      <c r="D10" s="11" t="s">
        <v>12</v>
      </c>
      <c r="E10" s="14">
        <v>65</v>
      </c>
      <c r="F10" s="2"/>
      <c r="G10" s="13"/>
      <c r="H10" s="13"/>
      <c r="I10" s="53"/>
      <c r="J10" s="54" t="s">
        <v>13</v>
      </c>
      <c r="K10" s="55">
        <f>FV(E17,(E10-E9),,-K9)</f>
        <v>163101.889599954</v>
      </c>
      <c r="L10" s="2"/>
      <c r="M10" s="52"/>
      <c r="N10" s="2"/>
      <c r="O10" s="2"/>
    </row>
    <row r="11" ht="15" customHeight="1" spans="1:15">
      <c r="A11" s="10"/>
      <c r="B11" s="11"/>
      <c r="C11" s="11"/>
      <c r="D11" s="11" t="s">
        <v>14</v>
      </c>
      <c r="E11" s="14">
        <v>25</v>
      </c>
      <c r="F11" s="2"/>
      <c r="G11" s="13"/>
      <c r="H11" s="13"/>
      <c r="I11" s="13"/>
      <c r="J11" s="54" t="s">
        <v>15</v>
      </c>
      <c r="K11" s="55">
        <f>PV(((1+E16)/(1+E17)-1)/E43,E11*E43,-IF(E44=1,K10/E43,K10/(1+E17)/E43),,1)</f>
        <v>4077547.23999884</v>
      </c>
      <c r="L11" s="2"/>
      <c r="M11" s="52"/>
      <c r="N11" s="2"/>
      <c r="O11" s="2"/>
    </row>
    <row r="12" ht="15" customHeight="1" spans="1:15">
      <c r="A12" s="10"/>
      <c r="B12" s="11"/>
      <c r="C12" s="11"/>
      <c r="D12" s="11" t="s">
        <v>16</v>
      </c>
      <c r="E12" s="15">
        <f>E10-E9</f>
        <v>40</v>
      </c>
      <c r="F12" s="2"/>
      <c r="G12" s="13"/>
      <c r="H12" s="13"/>
      <c r="I12" s="13"/>
      <c r="J12" s="13"/>
      <c r="K12" s="13"/>
      <c r="L12" s="2"/>
      <c r="M12" s="2"/>
      <c r="N12" s="2"/>
      <c r="O12" s="2"/>
    </row>
    <row r="13" ht="15" customHeight="1" spans="1:15">
      <c r="A13" s="10"/>
      <c r="B13" s="11"/>
      <c r="C13" s="11"/>
      <c r="D13" s="11"/>
      <c r="E13" s="11"/>
      <c r="F13" s="2"/>
      <c r="G13" s="16" t="s">
        <v>17</v>
      </c>
      <c r="H13" s="17"/>
      <c r="I13" s="17"/>
      <c r="J13" s="17"/>
      <c r="K13" s="56"/>
      <c r="L13" s="2"/>
      <c r="M13" s="49"/>
      <c r="N13" s="2"/>
      <c r="O13" s="2"/>
    </row>
    <row r="14" ht="15" customHeight="1" spans="1:15">
      <c r="A14" s="18" t="s">
        <v>18</v>
      </c>
      <c r="B14" s="19"/>
      <c r="C14" s="19"/>
      <c r="D14" s="19"/>
      <c r="E14" s="19"/>
      <c r="F14" s="2"/>
      <c r="G14" s="13"/>
      <c r="H14" s="13"/>
      <c r="I14" s="13"/>
      <c r="J14" s="50" t="s">
        <v>19</v>
      </c>
      <c r="K14" s="24">
        <v>20000</v>
      </c>
      <c r="L14" s="2"/>
      <c r="M14" s="2"/>
      <c r="N14" s="2"/>
      <c r="O14" s="2"/>
    </row>
    <row r="15" ht="15" customHeight="1" spans="1:15">
      <c r="A15" s="10"/>
      <c r="B15" s="11"/>
      <c r="C15" s="11"/>
      <c r="D15" s="11" t="s">
        <v>20</v>
      </c>
      <c r="E15" s="20">
        <v>0.06</v>
      </c>
      <c r="F15" s="2"/>
      <c r="G15" s="13"/>
      <c r="H15" s="13"/>
      <c r="I15" s="13"/>
      <c r="J15" s="54" t="s">
        <v>21</v>
      </c>
      <c r="K15" s="55">
        <f>-FV(E15/E43,(E10-E9)*E43,0,K14,0)</f>
        <v>205714.358742519</v>
      </c>
      <c r="L15" s="2"/>
      <c r="M15" s="57" t="s">
        <v>22</v>
      </c>
      <c r="N15" s="2"/>
      <c r="O15" s="2"/>
    </row>
    <row r="16" ht="15" customHeight="1" spans="1:15">
      <c r="A16" s="10"/>
      <c r="B16" s="11"/>
      <c r="C16" s="11"/>
      <c r="D16" s="11" t="s">
        <v>23</v>
      </c>
      <c r="E16" s="21">
        <v>0.03</v>
      </c>
      <c r="F16" s="2"/>
      <c r="G16" s="13"/>
      <c r="H16" s="13"/>
      <c r="I16" s="13"/>
      <c r="J16" s="54" t="s">
        <v>24</v>
      </c>
      <c r="K16" s="55">
        <f>IF(E21=E15,(E27/E43)*((E12*E43)*(1+E15/E43)^(E12*E43))/(1+E21/E43),(E27/E43)*((1+E21/E43)^(E12*E43)-(1+E15/E43)^(E12*E43))/(E21/E43-E15/E43))</f>
        <v>1312622.71944555</v>
      </c>
      <c r="L16" s="2"/>
      <c r="M16" s="48" t="s">
        <v>25</v>
      </c>
      <c r="N16" s="2"/>
      <c r="O16" s="2"/>
    </row>
    <row r="17" ht="15" customHeight="1" spans="1:15">
      <c r="A17" s="10"/>
      <c r="B17" s="11"/>
      <c r="C17" s="11"/>
      <c r="D17" s="11" t="s">
        <v>26</v>
      </c>
      <c r="E17" s="21">
        <v>0.03</v>
      </c>
      <c r="F17" s="2"/>
      <c r="G17" s="13"/>
      <c r="H17" s="13"/>
      <c r="I17" s="13"/>
      <c r="J17" s="13"/>
      <c r="K17" s="58"/>
      <c r="L17" s="2"/>
      <c r="M17" s="48" t="s">
        <v>27</v>
      </c>
      <c r="N17" s="2"/>
      <c r="O17" s="2"/>
    </row>
    <row r="18" ht="15" customHeight="1" spans="1:15">
      <c r="A18" s="10"/>
      <c r="B18" s="11"/>
      <c r="C18" s="11"/>
      <c r="D18" s="11"/>
      <c r="E18" s="11"/>
      <c r="F18" s="22"/>
      <c r="G18" s="16" t="s">
        <v>28</v>
      </c>
      <c r="H18" s="17"/>
      <c r="I18" s="17"/>
      <c r="J18" s="17"/>
      <c r="K18" s="56"/>
      <c r="L18" s="2"/>
      <c r="M18" s="48" t="s">
        <v>29</v>
      </c>
      <c r="N18" s="2"/>
      <c r="O18" s="2"/>
    </row>
    <row r="19" ht="15" customHeight="1" spans="1:15">
      <c r="A19" s="18" t="s">
        <v>30</v>
      </c>
      <c r="B19" s="19"/>
      <c r="C19" s="19"/>
      <c r="D19" s="19"/>
      <c r="E19" s="19"/>
      <c r="F19" s="2"/>
      <c r="G19" s="13"/>
      <c r="H19" s="23"/>
      <c r="I19" s="13"/>
      <c r="J19" s="54" t="s">
        <v>31</v>
      </c>
      <c r="K19" s="14">
        <v>65</v>
      </c>
      <c r="L19" s="2"/>
      <c r="M19" s="48" t="s">
        <v>32</v>
      </c>
      <c r="N19" s="2"/>
      <c r="O19" s="2"/>
    </row>
    <row r="20" ht="15" customHeight="1" spans="1:15">
      <c r="A20" s="10"/>
      <c r="B20" s="11"/>
      <c r="C20" s="11"/>
      <c r="D20" s="11" t="s">
        <v>33</v>
      </c>
      <c r="E20" s="24">
        <v>50000</v>
      </c>
      <c r="F20" s="2"/>
      <c r="G20" s="13"/>
      <c r="H20" s="13"/>
      <c r="I20" s="13"/>
      <c r="J20" s="54" t="s">
        <v>34</v>
      </c>
      <c r="K20" s="24">
        <v>0</v>
      </c>
      <c r="L20" s="2"/>
      <c r="M20" s="48" t="s">
        <v>35</v>
      </c>
      <c r="N20" s="2"/>
      <c r="O20" s="2"/>
    </row>
    <row r="21" ht="15" customHeight="1" spans="1:15">
      <c r="A21" s="10"/>
      <c r="B21" s="11"/>
      <c r="C21" s="11"/>
      <c r="D21" s="11" t="s">
        <v>36</v>
      </c>
      <c r="E21" s="20">
        <v>0.02</v>
      </c>
      <c r="F21" s="22"/>
      <c r="G21" s="13"/>
      <c r="H21" s="13"/>
      <c r="I21" s="13"/>
      <c r="J21" s="54" t="s">
        <v>37</v>
      </c>
      <c r="K21" s="21">
        <v>0.028</v>
      </c>
      <c r="L21" s="2"/>
      <c r="M21" s="48"/>
      <c r="N21" s="2"/>
      <c r="O21" s="2"/>
    </row>
    <row r="22" ht="15" customHeight="1" spans="1:15">
      <c r="A22" s="10"/>
      <c r="B22" s="11"/>
      <c r="C22" s="11"/>
      <c r="D22" s="11"/>
      <c r="E22" s="11"/>
      <c r="F22" s="2"/>
      <c r="G22" s="13"/>
      <c r="H22" s="13"/>
      <c r="I22" s="13"/>
      <c r="J22" s="54" t="s">
        <v>38</v>
      </c>
      <c r="K22" s="14">
        <v>10</v>
      </c>
      <c r="L22" s="2"/>
      <c r="M22" s="48" t="s">
        <v>39</v>
      </c>
      <c r="N22" s="2"/>
      <c r="O22" s="2"/>
    </row>
    <row r="23" ht="15" customHeight="1" spans="1:15">
      <c r="A23" s="18" t="s">
        <v>40</v>
      </c>
      <c r="B23" s="19"/>
      <c r="C23" s="19"/>
      <c r="D23" s="19"/>
      <c r="E23" s="19"/>
      <c r="F23" s="25"/>
      <c r="G23" s="13"/>
      <c r="H23" s="13"/>
      <c r="I23" s="13"/>
      <c r="J23" s="54" t="s">
        <v>41</v>
      </c>
      <c r="K23" s="55">
        <f>PV(E16,K19-E10-1,,-IF(K21=E16,K20*K22/(1+K21),K20*(((1+K21)/(1+E16))^K22-1)/(K21-E16)),1)</f>
        <v>0</v>
      </c>
      <c r="L23" s="2"/>
      <c r="M23" s="48" t="s">
        <v>42</v>
      </c>
      <c r="N23" s="2"/>
      <c r="O23" s="2"/>
    </row>
    <row r="24" ht="15" customHeight="1" spans="1:15">
      <c r="A24" s="10"/>
      <c r="B24" s="11"/>
      <c r="C24" s="11"/>
      <c r="D24" s="11" t="s">
        <v>43</v>
      </c>
      <c r="E24" s="20">
        <v>0.1</v>
      </c>
      <c r="F24" s="2"/>
      <c r="G24" s="13"/>
      <c r="H24" s="13"/>
      <c r="I24" s="13"/>
      <c r="J24" s="13"/>
      <c r="K24" s="13"/>
      <c r="L24" s="2"/>
      <c r="M24" s="48"/>
      <c r="N24" s="2"/>
      <c r="O24" s="2"/>
    </row>
    <row r="25" ht="15" customHeight="1" spans="1:15">
      <c r="A25" s="10"/>
      <c r="B25" s="11"/>
      <c r="C25" s="11"/>
      <c r="D25" s="26" t="s">
        <v>44</v>
      </c>
      <c r="E25" s="20">
        <v>0.5</v>
      </c>
      <c r="F25" s="2"/>
      <c r="G25" s="16" t="s">
        <v>45</v>
      </c>
      <c r="H25" s="17"/>
      <c r="I25" s="17"/>
      <c r="J25" s="17"/>
      <c r="K25" s="56"/>
      <c r="L25" s="2"/>
      <c r="M25" s="48" t="s">
        <v>46</v>
      </c>
      <c r="N25" s="2"/>
      <c r="O25" s="2"/>
    </row>
    <row r="26" ht="15" customHeight="1" spans="1:15">
      <c r="A26" s="10"/>
      <c r="B26" s="11"/>
      <c r="C26" s="11"/>
      <c r="D26" s="26" t="s">
        <v>47</v>
      </c>
      <c r="E26" s="20">
        <v>0.06</v>
      </c>
      <c r="F26" s="2"/>
      <c r="G26" s="13"/>
      <c r="H26" s="13"/>
      <c r="I26" s="13"/>
      <c r="J26" s="54" t="s">
        <v>48</v>
      </c>
      <c r="K26" s="24">
        <v>0</v>
      </c>
      <c r="L26" s="2"/>
      <c r="M26" s="48" t="s">
        <v>49</v>
      </c>
      <c r="N26" s="2"/>
      <c r="O26" s="2"/>
    </row>
    <row r="27" ht="15" customHeight="1" spans="1:15">
      <c r="A27" s="10"/>
      <c r="B27" s="11"/>
      <c r="C27" s="11"/>
      <c r="D27" s="11" t="s">
        <v>50</v>
      </c>
      <c r="E27" s="27">
        <f>E20*E24+E20*MIN(E24,E26)*E25</f>
        <v>6500</v>
      </c>
      <c r="F27" s="2"/>
      <c r="G27" s="2"/>
      <c r="H27" s="2"/>
      <c r="I27" s="2"/>
      <c r="J27" s="2"/>
      <c r="K27" s="59" t="str">
        <f>IF(K28&lt;0,"Note: There is a surplus. Some results might not apply.",".")</f>
        <v>.</v>
      </c>
      <c r="L27" s="2"/>
      <c r="M27" s="48" t="s">
        <v>51</v>
      </c>
      <c r="N27" s="2"/>
      <c r="O27" s="2"/>
    </row>
    <row r="28" ht="15" customHeight="1" spans="1:15">
      <c r="A28" s="10"/>
      <c r="B28" s="11"/>
      <c r="C28" s="11"/>
      <c r="D28" s="28"/>
      <c r="E28" s="29" t="str">
        <f>IF(E24&lt;E26,"Employer Match is NOT Maximized",".")</f>
        <v>.</v>
      </c>
      <c r="F28" s="2"/>
      <c r="G28" s="30"/>
      <c r="H28" s="30"/>
      <c r="I28" s="30"/>
      <c r="J28" s="60" t="s">
        <v>52</v>
      </c>
      <c r="K28" s="61">
        <f>K11-K15-K16-K23-K26</f>
        <v>2559210.16181077</v>
      </c>
      <c r="L28" s="2"/>
      <c r="M28" s="48" t="s">
        <v>53</v>
      </c>
      <c r="N28" s="2"/>
      <c r="O28" s="2"/>
    </row>
    <row r="29" ht="15" customHeight="1" spans="1:15">
      <c r="A29" s="2"/>
      <c r="B29" s="31"/>
      <c r="C29" s="31"/>
      <c r="D29" s="32"/>
      <c r="E29" s="33"/>
      <c r="F29" s="2"/>
      <c r="G29" s="34"/>
      <c r="H29" s="34"/>
      <c r="I29" s="34"/>
      <c r="J29" s="62" t="s">
        <v>54</v>
      </c>
      <c r="K29" s="63">
        <f>IF(K10=0," - ",NPER((1+E16)/(1+E17)-1,-IF(E44=1,K10,K10/(1+E17)),K11-K28,,E44))</f>
        <v>9.30913235838134</v>
      </c>
      <c r="L29" s="2"/>
      <c r="M29" s="48"/>
      <c r="N29" s="2"/>
      <c r="O29" s="2"/>
    </row>
    <row r="30" ht="14.25" spans="1:15">
      <c r="A30" s="2"/>
      <c r="B30" s="31"/>
      <c r="C30" s="31"/>
      <c r="D30" s="32"/>
      <c r="E30" s="33"/>
      <c r="F30" s="2"/>
      <c r="G30" s="35"/>
      <c r="H30" s="34"/>
      <c r="I30" s="34"/>
      <c r="J30" s="62" t="s">
        <v>55</v>
      </c>
      <c r="K30" s="64">
        <f>K28/IF(E21=E15,(E12*E43)*(1+E15/E43)^(E12*E43)/(1+E21/E43),(((1+E21/E43)^(E12*E43)-(1+E15/E43)^(E12*E43))/(E21/E43-E15/E43)))*E43</f>
        <v>12672.9987263946</v>
      </c>
      <c r="L30" s="2"/>
      <c r="M30" s="48" t="s">
        <v>56</v>
      </c>
      <c r="N30" s="2"/>
      <c r="O30" s="2"/>
    </row>
    <row r="31" ht="14.25" spans="1:15">
      <c r="A31" s="2"/>
      <c r="B31" s="31"/>
      <c r="C31" s="31"/>
      <c r="D31" s="32"/>
      <c r="E31" s="33"/>
      <c r="F31" s="2"/>
      <c r="G31" s="34"/>
      <c r="H31" s="34"/>
      <c r="I31" s="34"/>
      <c r="J31" s="62" t="s">
        <v>57</v>
      </c>
      <c r="K31" s="65">
        <f>IF(((K30+E27)/E20/(1+E25))&gt;E26,(K30+E27)/E20-E26*E25,((K30+E27)/E20/(1+E25)))</f>
        <v>0.353459974527891</v>
      </c>
      <c r="L31" s="2"/>
      <c r="M31" s="48" t="s">
        <v>58</v>
      </c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66"/>
      <c r="K32" s="2"/>
      <c r="L32" s="2"/>
      <c r="M32" s="48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66"/>
      <c r="K33" s="2"/>
      <c r="L33" s="2"/>
      <c r="M33" s="48" t="s">
        <v>59</v>
      </c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66"/>
      <c r="K34" s="2"/>
      <c r="L34" s="2"/>
      <c r="M34" s="48" t="s">
        <v>60</v>
      </c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48" t="s">
        <v>61</v>
      </c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67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67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67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67"/>
      <c r="K40" s="2"/>
      <c r="L40" s="2"/>
      <c r="M40" s="2"/>
      <c r="N40" s="2"/>
      <c r="O40" s="2"/>
    </row>
    <row r="41" spans="1:15">
      <c r="A41" s="2"/>
      <c r="B41" s="2"/>
      <c r="C41" s="2"/>
      <c r="D41" s="36" t="s">
        <v>62</v>
      </c>
      <c r="E41" s="36" t="str">
        <f>"Goal: Saving "&amp;ROUND(K31*100,2)&amp;"% of Salary"</f>
        <v>Goal: Saving 35.35% of Salary</v>
      </c>
      <c r="F41" s="2"/>
      <c r="G41" s="2"/>
      <c r="H41" s="2"/>
      <c r="I41" s="2"/>
      <c r="J41" s="67"/>
      <c r="K41" s="2"/>
      <c r="L41" s="2"/>
      <c r="M41" s="2"/>
      <c r="N41" s="2"/>
      <c r="O41" s="2"/>
    </row>
    <row r="42" spans="1:15">
      <c r="A42" s="2"/>
      <c r="B42" s="2"/>
      <c r="C42" s="2"/>
      <c r="D42" s="36" t="s">
        <v>63</v>
      </c>
      <c r="E42" s="36" t="str">
        <f>"Current: Saving "&amp;ROUND(E24*100,2)&amp;"% of Salary"</f>
        <v>Current: Saving 10% of Salary</v>
      </c>
      <c r="F42" s="2"/>
      <c r="G42" s="2"/>
      <c r="H42" s="2"/>
      <c r="I42" s="2"/>
      <c r="J42" s="67"/>
      <c r="K42" s="2"/>
      <c r="L42" s="2"/>
      <c r="M42" s="2"/>
      <c r="N42" s="2"/>
      <c r="O42" s="2"/>
    </row>
    <row r="43" ht="14.25" spans="1:15">
      <c r="A43" s="36"/>
      <c r="B43" s="36"/>
      <c r="C43" s="36"/>
      <c r="D43" s="37" t="s">
        <v>64</v>
      </c>
      <c r="E43" s="38">
        <v>1</v>
      </c>
      <c r="F43" s="2"/>
      <c r="G43" s="2"/>
      <c r="H43" s="2"/>
      <c r="I43" s="2"/>
      <c r="J43" s="67"/>
      <c r="K43" s="2"/>
      <c r="L43" s="2"/>
      <c r="M43" s="2"/>
      <c r="N43" s="2"/>
      <c r="O43" s="2"/>
    </row>
    <row r="44" ht="14.25" spans="1:15">
      <c r="A44" s="36"/>
      <c r="B44" s="36"/>
      <c r="C44" s="36"/>
      <c r="D44" s="37" t="s">
        <v>65</v>
      </c>
      <c r="E44" s="38">
        <v>1</v>
      </c>
      <c r="F44" s="2"/>
      <c r="G44" s="2"/>
      <c r="H44" s="2"/>
      <c r="I44" s="2"/>
      <c r="J44" s="67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67"/>
      <c r="K45" s="2"/>
      <c r="L45" s="2"/>
      <c r="M45" s="2"/>
      <c r="N45" s="2"/>
      <c r="O45" s="2"/>
    </row>
    <row r="46" spans="1:15">
      <c r="A46" s="39" t="str">
        <f>"Table Based on "&amp;TEXT(K31,"0.00%")&amp;" Salary Contribution Scenario"</f>
        <v>Table Based on 35.35% Salary Contribution Scenario</v>
      </c>
      <c r="B46" s="2"/>
      <c r="C46" s="2"/>
      <c r="D46" s="2"/>
      <c r="E46" s="2"/>
      <c r="F46" s="2"/>
      <c r="G46" s="2"/>
      <c r="H46" s="2"/>
      <c r="I46" s="2"/>
      <c r="J46" s="67"/>
      <c r="K46" s="68" t="s">
        <v>66</v>
      </c>
      <c r="L46" s="2"/>
      <c r="M46" s="2"/>
      <c r="N46" s="2"/>
      <c r="O46" s="2"/>
    </row>
    <row r="47" ht="26.25" spans="1:15">
      <c r="A47" s="40" t="s">
        <v>67</v>
      </c>
      <c r="B47" s="40" t="s">
        <v>68</v>
      </c>
      <c r="C47" s="40" t="s">
        <v>69</v>
      </c>
      <c r="D47" s="40" t="s">
        <v>70</v>
      </c>
      <c r="E47" s="40" t="s">
        <v>71</v>
      </c>
      <c r="F47" s="40"/>
      <c r="G47" s="40" t="s">
        <v>72</v>
      </c>
      <c r="H47" s="41" t="s">
        <v>73</v>
      </c>
      <c r="I47" s="40" t="s">
        <v>74</v>
      </c>
      <c r="J47" s="41" t="s">
        <v>75</v>
      </c>
      <c r="K47" s="69" t="s">
        <v>76</v>
      </c>
      <c r="L47" s="2"/>
      <c r="M47" s="2"/>
      <c r="N47" s="2"/>
      <c r="O47" s="2"/>
    </row>
    <row r="48" ht="15" customHeight="1" spans="1:15">
      <c r="A48" s="42"/>
      <c r="B48" s="42"/>
      <c r="C48" s="42"/>
      <c r="D48" s="43"/>
      <c r="E48" s="43"/>
      <c r="F48" s="43"/>
      <c r="G48" s="43"/>
      <c r="H48" s="43"/>
      <c r="I48" s="42"/>
      <c r="J48" s="42"/>
      <c r="K48" s="70">
        <f>$K$14</f>
        <v>20000</v>
      </c>
      <c r="L48" s="2"/>
      <c r="M48" s="2"/>
      <c r="N48" s="2"/>
      <c r="O48" s="2"/>
    </row>
    <row r="49" spans="1:15">
      <c r="A49" s="44">
        <f t="shared" ref="A49:A102" si="0">IF(A48&lt;($E$10-$E$9)+$E$11,A48+1,NA())</f>
        <v>1</v>
      </c>
      <c r="B49" s="44">
        <f t="shared" ref="B49:B102" si="1">IF(ISERROR(A49),NA(),$E$9+A49-1)</f>
        <v>25</v>
      </c>
      <c r="C49" s="45">
        <f t="shared" ref="C49:C80" si="2">IF(ISERROR(A49),NA(),IF(B49&lt;$E$10,$E$15,$E$16))</f>
        <v>0.06</v>
      </c>
      <c r="D49" s="46">
        <f>E20</f>
        <v>50000</v>
      </c>
      <c r="E49" s="47">
        <f t="shared" ref="E49:E80" si="3">IF(ISERROR(A49),NA(),IF(B49=$E$10-1,$K$26,0)+IF(A49&lt;=$E$12,$K$31*D49,0))</f>
        <v>17672.9987263946</v>
      </c>
      <c r="F49" s="47" t="str">
        <f>IF(ISERROR(A49),NA(),"")</f>
        <v/>
      </c>
      <c r="G49" s="47">
        <f t="shared" ref="G49:G80" si="4">IF(ISERROR(A49),NA(),IF(A49&lt;=$E$12,MIN($E$25*E49,$E$26*$E$25*D49),0))</f>
        <v>1500</v>
      </c>
      <c r="H49" s="47">
        <f>IF(ISERROR(A49),NA(),IF(ISERROR(B49),0,IF(AND(B49&gt;=$K$19,B49&lt;($K$19+$K$22)),$K$20*(1+$K$21)^(B49-$K$19),0)))</f>
        <v>0</v>
      </c>
      <c r="I49" s="47">
        <f t="shared" ref="I49:I80" si="5">IF(ISERROR(A49),NA(),IF(B49&gt;=$E$10,D49-H49,0))</f>
        <v>0</v>
      </c>
      <c r="J49" s="71">
        <f t="shared" ref="J49:J80" si="6">IF(ISERROR(A49),NA(),FV(C49/$E$43,$E$43,-(E49+G49)/$E$43,-(K48-I49*$E$44),0)-(K48+E49+G49-I49*$E$44))</f>
        <v>1200.00000000001</v>
      </c>
      <c r="K49" s="71">
        <f t="shared" ref="K49:K80" si="7">IF(ISERROR(A49),NA(),K48+E49+G49+J49-I49)</f>
        <v>40372.9987263946</v>
      </c>
      <c r="L49" s="2"/>
      <c r="M49" s="72"/>
      <c r="N49" s="2"/>
      <c r="O49" s="2"/>
    </row>
    <row r="50" spans="1:15">
      <c r="A50" s="44">
        <f t="shared" si="0"/>
        <v>2</v>
      </c>
      <c r="B50" s="44">
        <f t="shared" si="1"/>
        <v>26</v>
      </c>
      <c r="C50" s="45">
        <f t="shared" si="2"/>
        <v>0.06</v>
      </c>
      <c r="D50" s="47">
        <f t="shared" ref="D50:D81" si="8">IF(ISERROR(A50),NA(),IF(B50&gt;=$E$10,$K$10*(1+$E$17)^(B50-$E$10),(1+$E$21)*D49))</f>
        <v>51000</v>
      </c>
      <c r="E50" s="47">
        <f t="shared" si="3"/>
        <v>18026.4587009224</v>
      </c>
      <c r="F50" s="47" t="str">
        <f t="shared" ref="F50:F113" si="9">IF(ISERROR(A50),NA(),"")</f>
        <v/>
      </c>
      <c r="G50" s="47">
        <f t="shared" si="4"/>
        <v>1530</v>
      </c>
      <c r="H50" s="47">
        <f t="shared" ref="H50:H113" si="10">IF(ISERROR(A50),NA(),IF(ISERROR(B50),0,IF(AND(B50&gt;=$K$19,B50&lt;($K$19+$K$22)),$K$20*(1+$K$21)^(B50-$K$19),0)))</f>
        <v>0</v>
      </c>
      <c r="I50" s="47">
        <f t="shared" si="5"/>
        <v>0</v>
      </c>
      <c r="J50" s="71">
        <f t="shared" si="6"/>
        <v>2422.3799235837</v>
      </c>
      <c r="K50" s="71">
        <f t="shared" si="7"/>
        <v>62351.8373509007</v>
      </c>
      <c r="L50" s="2"/>
      <c r="M50" s="72"/>
      <c r="N50" s="2"/>
      <c r="O50" s="2"/>
    </row>
    <row r="51" spans="1:15">
      <c r="A51" s="44">
        <f t="shared" si="0"/>
        <v>3</v>
      </c>
      <c r="B51" s="44">
        <f t="shared" si="1"/>
        <v>27</v>
      </c>
      <c r="C51" s="45">
        <f t="shared" si="2"/>
        <v>0.06</v>
      </c>
      <c r="D51" s="47">
        <f t="shared" si="8"/>
        <v>52020</v>
      </c>
      <c r="E51" s="47">
        <f t="shared" si="3"/>
        <v>18386.9878749409</v>
      </c>
      <c r="F51" s="47" t="str">
        <f t="shared" si="9"/>
        <v/>
      </c>
      <c r="G51" s="47">
        <f t="shared" si="4"/>
        <v>1560.6</v>
      </c>
      <c r="H51" s="47">
        <f t="shared" si="10"/>
        <v>0</v>
      </c>
      <c r="I51" s="47">
        <f t="shared" si="5"/>
        <v>0</v>
      </c>
      <c r="J51" s="71">
        <f t="shared" si="6"/>
        <v>3741.11024105405</v>
      </c>
      <c r="K51" s="71">
        <f t="shared" si="7"/>
        <v>86040.5354668957</v>
      </c>
      <c r="L51" s="2"/>
      <c r="M51" s="72"/>
      <c r="N51" s="2"/>
      <c r="O51" s="2"/>
    </row>
    <row r="52" spans="1:15">
      <c r="A52" s="44">
        <f t="shared" si="0"/>
        <v>4</v>
      </c>
      <c r="B52" s="44">
        <f t="shared" si="1"/>
        <v>28</v>
      </c>
      <c r="C52" s="45">
        <f t="shared" si="2"/>
        <v>0.06</v>
      </c>
      <c r="D52" s="47">
        <f t="shared" si="8"/>
        <v>53060.4</v>
      </c>
      <c r="E52" s="47">
        <f t="shared" si="3"/>
        <v>18754.7276324397</v>
      </c>
      <c r="F52" s="47" t="str">
        <f t="shared" si="9"/>
        <v/>
      </c>
      <c r="G52" s="47">
        <f t="shared" si="4"/>
        <v>1591.812</v>
      </c>
      <c r="H52" s="47">
        <f t="shared" si="10"/>
        <v>0</v>
      </c>
      <c r="I52" s="47">
        <f t="shared" si="5"/>
        <v>0</v>
      </c>
      <c r="J52" s="71">
        <f t="shared" si="6"/>
        <v>5162.43212801375</v>
      </c>
      <c r="K52" s="71">
        <f t="shared" si="7"/>
        <v>111549.507227349</v>
      </c>
      <c r="L52" s="2"/>
      <c r="M52" s="72"/>
      <c r="N52" s="2"/>
      <c r="O52" s="2"/>
    </row>
    <row r="53" spans="1:15">
      <c r="A53" s="44">
        <f t="shared" si="0"/>
        <v>5</v>
      </c>
      <c r="B53" s="44">
        <f t="shared" si="1"/>
        <v>29</v>
      </c>
      <c r="C53" s="45">
        <f t="shared" si="2"/>
        <v>0.06</v>
      </c>
      <c r="D53" s="47">
        <f t="shared" si="8"/>
        <v>54121.608</v>
      </c>
      <c r="E53" s="47">
        <f t="shared" si="3"/>
        <v>19129.8221850885</v>
      </c>
      <c r="F53" s="47" t="str">
        <f t="shared" si="9"/>
        <v/>
      </c>
      <c r="G53" s="47">
        <f t="shared" si="4"/>
        <v>1623.64824</v>
      </c>
      <c r="H53" s="47">
        <f t="shared" si="10"/>
        <v>0</v>
      </c>
      <c r="I53" s="47">
        <f t="shared" si="5"/>
        <v>0</v>
      </c>
      <c r="J53" s="71">
        <f t="shared" si="6"/>
        <v>6692.97043364096</v>
      </c>
      <c r="K53" s="71">
        <f t="shared" si="7"/>
        <v>138995.948086079</v>
      </c>
      <c r="L53" s="2"/>
      <c r="M53" s="72"/>
      <c r="N53" s="2"/>
      <c r="O53" s="2"/>
    </row>
    <row r="54" spans="1:15">
      <c r="A54" s="44">
        <f t="shared" si="0"/>
        <v>6</v>
      </c>
      <c r="B54" s="44">
        <f t="shared" si="1"/>
        <v>30</v>
      </c>
      <c r="C54" s="45">
        <f t="shared" si="2"/>
        <v>0.06</v>
      </c>
      <c r="D54" s="47">
        <f t="shared" si="8"/>
        <v>55204.04016</v>
      </c>
      <c r="E54" s="47">
        <f t="shared" si="3"/>
        <v>19512.4186287903</v>
      </c>
      <c r="F54" s="47" t="str">
        <f t="shared" si="9"/>
        <v/>
      </c>
      <c r="G54" s="47">
        <f t="shared" si="4"/>
        <v>1656.1212048</v>
      </c>
      <c r="H54" s="47">
        <f t="shared" si="10"/>
        <v>0</v>
      </c>
      <c r="I54" s="47">
        <f t="shared" si="5"/>
        <v>0</v>
      </c>
      <c r="J54" s="71">
        <f t="shared" si="6"/>
        <v>8339.75688516477</v>
      </c>
      <c r="K54" s="71">
        <f t="shared" si="7"/>
        <v>168504.244804834</v>
      </c>
      <c r="L54" s="2"/>
      <c r="M54" s="72"/>
      <c r="N54" s="2"/>
      <c r="O54" s="2"/>
    </row>
    <row r="55" spans="1:15">
      <c r="A55" s="44">
        <f t="shared" si="0"/>
        <v>7</v>
      </c>
      <c r="B55" s="44">
        <f t="shared" si="1"/>
        <v>31</v>
      </c>
      <c r="C55" s="45">
        <f t="shared" si="2"/>
        <v>0.06</v>
      </c>
      <c r="D55" s="47">
        <f t="shared" si="8"/>
        <v>56308.1209632</v>
      </c>
      <c r="E55" s="47">
        <f t="shared" si="3"/>
        <v>19902.6670013661</v>
      </c>
      <c r="F55" s="47" t="str">
        <f t="shared" si="9"/>
        <v/>
      </c>
      <c r="G55" s="47">
        <f t="shared" si="4"/>
        <v>1689.243628896</v>
      </c>
      <c r="H55" s="47">
        <f t="shared" si="10"/>
        <v>0</v>
      </c>
      <c r="I55" s="47">
        <f t="shared" si="5"/>
        <v>0</v>
      </c>
      <c r="J55" s="71">
        <f t="shared" si="6"/>
        <v>10110.2546882901</v>
      </c>
      <c r="K55" s="71">
        <f t="shared" si="7"/>
        <v>200206.410123386</v>
      </c>
      <c r="L55" s="2"/>
      <c r="M55" s="72"/>
      <c r="N55" s="2"/>
      <c r="O55" s="2"/>
    </row>
    <row r="56" spans="1:15">
      <c r="A56" s="44">
        <f t="shared" si="0"/>
        <v>8</v>
      </c>
      <c r="B56" s="44">
        <f t="shared" si="1"/>
        <v>32</v>
      </c>
      <c r="C56" s="45">
        <f t="shared" si="2"/>
        <v>0.06</v>
      </c>
      <c r="D56" s="47">
        <f t="shared" si="8"/>
        <v>57434.283382464</v>
      </c>
      <c r="E56" s="47">
        <f t="shared" si="3"/>
        <v>20300.7203413934</v>
      </c>
      <c r="F56" s="47" t="str">
        <f t="shared" si="9"/>
        <v/>
      </c>
      <c r="G56" s="47">
        <f t="shared" si="4"/>
        <v>1723.02850147392</v>
      </c>
      <c r="H56" s="47">
        <f t="shared" si="10"/>
        <v>0</v>
      </c>
      <c r="I56" s="47">
        <f t="shared" si="5"/>
        <v>0</v>
      </c>
      <c r="J56" s="71">
        <f t="shared" si="6"/>
        <v>12012.3846074032</v>
      </c>
      <c r="K56" s="71">
        <f t="shared" si="7"/>
        <v>234242.543573656</v>
      </c>
      <c r="L56" s="2"/>
      <c r="M56" s="72"/>
      <c r="N56" s="2"/>
      <c r="O56" s="2"/>
    </row>
    <row r="57" spans="1:15">
      <c r="A57" s="44">
        <f t="shared" si="0"/>
        <v>9</v>
      </c>
      <c r="B57" s="44">
        <f t="shared" si="1"/>
        <v>33</v>
      </c>
      <c r="C57" s="45">
        <f t="shared" si="2"/>
        <v>0.06</v>
      </c>
      <c r="D57" s="47">
        <f t="shared" si="8"/>
        <v>58582.9690501133</v>
      </c>
      <c r="E57" s="47">
        <f t="shared" si="3"/>
        <v>20706.7347482213</v>
      </c>
      <c r="F57" s="47" t="str">
        <f t="shared" si="9"/>
        <v/>
      </c>
      <c r="G57" s="47">
        <f t="shared" si="4"/>
        <v>1757.4890715034</v>
      </c>
      <c r="H57" s="47">
        <f t="shared" si="10"/>
        <v>0</v>
      </c>
      <c r="I57" s="47">
        <f t="shared" si="5"/>
        <v>0</v>
      </c>
      <c r="J57" s="71">
        <f t="shared" si="6"/>
        <v>14054.5526144194</v>
      </c>
      <c r="K57" s="71">
        <f t="shared" si="7"/>
        <v>270761.3200078</v>
      </c>
      <c r="L57" s="2"/>
      <c r="M57" s="72"/>
      <c r="N57" s="2"/>
      <c r="O57" s="2"/>
    </row>
    <row r="58" spans="1:15">
      <c r="A58" s="44">
        <f t="shared" si="0"/>
        <v>10</v>
      </c>
      <c r="B58" s="44">
        <f t="shared" si="1"/>
        <v>34</v>
      </c>
      <c r="C58" s="45">
        <f t="shared" si="2"/>
        <v>0.06</v>
      </c>
      <c r="D58" s="47">
        <f t="shared" si="8"/>
        <v>59754.6284311156</v>
      </c>
      <c r="E58" s="47">
        <f t="shared" si="3"/>
        <v>21120.8694431857</v>
      </c>
      <c r="F58" s="47" t="str">
        <f t="shared" si="9"/>
        <v/>
      </c>
      <c r="G58" s="47">
        <f t="shared" si="4"/>
        <v>1792.63885293347</v>
      </c>
      <c r="H58" s="47">
        <f t="shared" si="10"/>
        <v>0</v>
      </c>
      <c r="I58" s="47">
        <f t="shared" si="5"/>
        <v>0</v>
      </c>
      <c r="J58" s="71">
        <f t="shared" si="6"/>
        <v>16245.6792004681</v>
      </c>
      <c r="K58" s="71">
        <f t="shared" si="7"/>
        <v>309920.507504388</v>
      </c>
      <c r="L58" s="2"/>
      <c r="M58" s="72"/>
      <c r="N58" s="2"/>
      <c r="O58" s="2"/>
    </row>
    <row r="59" spans="1:15">
      <c r="A59" s="44">
        <f t="shared" si="0"/>
        <v>11</v>
      </c>
      <c r="B59" s="44">
        <f t="shared" si="1"/>
        <v>35</v>
      </c>
      <c r="C59" s="45">
        <f t="shared" si="2"/>
        <v>0.06</v>
      </c>
      <c r="D59" s="47">
        <f t="shared" si="8"/>
        <v>60949.7209997379</v>
      </c>
      <c r="E59" s="47">
        <f t="shared" si="3"/>
        <v>21543.2868320494</v>
      </c>
      <c r="F59" s="47" t="str">
        <f t="shared" si="9"/>
        <v/>
      </c>
      <c r="G59" s="47">
        <f t="shared" si="4"/>
        <v>1828.49162999214</v>
      </c>
      <c r="H59" s="47">
        <f t="shared" si="10"/>
        <v>0</v>
      </c>
      <c r="I59" s="47">
        <f t="shared" si="5"/>
        <v>0</v>
      </c>
      <c r="J59" s="71">
        <f t="shared" si="6"/>
        <v>18595.2304502632</v>
      </c>
      <c r="K59" s="71">
        <f t="shared" si="7"/>
        <v>351887.516416692</v>
      </c>
      <c r="L59" s="2"/>
      <c r="M59" s="72"/>
      <c r="N59" s="2"/>
      <c r="O59" s="2"/>
    </row>
    <row r="60" spans="1:15">
      <c r="A60" s="44">
        <f t="shared" si="0"/>
        <v>12</v>
      </c>
      <c r="B60" s="44">
        <f t="shared" si="1"/>
        <v>36</v>
      </c>
      <c r="C60" s="45">
        <f t="shared" si="2"/>
        <v>0.06</v>
      </c>
      <c r="D60" s="47">
        <f t="shared" si="8"/>
        <v>62168.7154197326</v>
      </c>
      <c r="E60" s="47">
        <f t="shared" si="3"/>
        <v>21974.1525686904</v>
      </c>
      <c r="F60" s="47" t="str">
        <f t="shared" si="9"/>
        <v/>
      </c>
      <c r="G60" s="47">
        <f t="shared" si="4"/>
        <v>1865.06146259198</v>
      </c>
      <c r="H60" s="47">
        <f t="shared" si="10"/>
        <v>0</v>
      </c>
      <c r="I60" s="47">
        <f t="shared" si="5"/>
        <v>0</v>
      </c>
      <c r="J60" s="71">
        <f t="shared" si="6"/>
        <v>21113.2509850016</v>
      </c>
      <c r="K60" s="71">
        <f t="shared" si="7"/>
        <v>396839.981432976</v>
      </c>
      <c r="L60" s="2"/>
      <c r="M60" s="72"/>
      <c r="N60" s="2"/>
      <c r="O60" s="2"/>
    </row>
    <row r="61" spans="1:15">
      <c r="A61" s="44">
        <f t="shared" si="0"/>
        <v>13</v>
      </c>
      <c r="B61" s="44">
        <f t="shared" si="1"/>
        <v>37</v>
      </c>
      <c r="C61" s="45">
        <f t="shared" si="2"/>
        <v>0.06</v>
      </c>
      <c r="D61" s="47">
        <f t="shared" si="8"/>
        <v>63412.0897281273</v>
      </c>
      <c r="E61" s="47">
        <f t="shared" si="3"/>
        <v>22413.6356200642</v>
      </c>
      <c r="F61" s="47" t="str">
        <f t="shared" si="9"/>
        <v/>
      </c>
      <c r="G61" s="47">
        <f t="shared" si="4"/>
        <v>1902.36269184382</v>
      </c>
      <c r="H61" s="47">
        <f t="shared" si="10"/>
        <v>0</v>
      </c>
      <c r="I61" s="47">
        <f t="shared" si="5"/>
        <v>0</v>
      </c>
      <c r="J61" s="71">
        <f t="shared" si="6"/>
        <v>23810.3988859786</v>
      </c>
      <c r="K61" s="71">
        <f t="shared" si="7"/>
        <v>444966.378630863</v>
      </c>
      <c r="L61" s="2"/>
      <c r="M61" s="72"/>
      <c r="N61" s="2"/>
      <c r="O61" s="2"/>
    </row>
    <row r="62" spans="1:15">
      <c r="A62" s="44">
        <f t="shared" si="0"/>
        <v>14</v>
      </c>
      <c r="B62" s="44">
        <f t="shared" si="1"/>
        <v>38</v>
      </c>
      <c r="C62" s="45">
        <f t="shared" si="2"/>
        <v>0.06</v>
      </c>
      <c r="D62" s="47">
        <f t="shared" si="8"/>
        <v>64680.3315226898</v>
      </c>
      <c r="E62" s="47">
        <f t="shared" si="3"/>
        <v>22861.9083324655</v>
      </c>
      <c r="F62" s="47" t="str">
        <f t="shared" si="9"/>
        <v/>
      </c>
      <c r="G62" s="47">
        <f t="shared" si="4"/>
        <v>1940.40994568069</v>
      </c>
      <c r="H62" s="47">
        <f t="shared" si="10"/>
        <v>0</v>
      </c>
      <c r="I62" s="47">
        <f t="shared" si="5"/>
        <v>0</v>
      </c>
      <c r="J62" s="71">
        <f t="shared" si="6"/>
        <v>26697.9827178518</v>
      </c>
      <c r="K62" s="71">
        <f t="shared" si="7"/>
        <v>496466.679626861</v>
      </c>
      <c r="L62" s="2"/>
      <c r="M62" s="72"/>
      <c r="N62" s="2"/>
      <c r="O62" s="2"/>
    </row>
    <row r="63" spans="1:15">
      <c r="A63" s="44">
        <f t="shared" si="0"/>
        <v>15</v>
      </c>
      <c r="B63" s="44">
        <f t="shared" si="1"/>
        <v>39</v>
      </c>
      <c r="C63" s="45">
        <f t="shared" si="2"/>
        <v>0.06</v>
      </c>
      <c r="D63" s="47">
        <f t="shared" si="8"/>
        <v>65973.9381531436</v>
      </c>
      <c r="E63" s="47">
        <f t="shared" si="3"/>
        <v>23319.1464991148</v>
      </c>
      <c r="F63" s="47" t="str">
        <f t="shared" si="9"/>
        <v/>
      </c>
      <c r="G63" s="47">
        <f t="shared" si="4"/>
        <v>1979.21814459431</v>
      </c>
      <c r="H63" s="47">
        <f t="shared" si="10"/>
        <v>0</v>
      </c>
      <c r="I63" s="47">
        <f t="shared" si="5"/>
        <v>0</v>
      </c>
      <c r="J63" s="71">
        <f t="shared" si="6"/>
        <v>29788.0007776117</v>
      </c>
      <c r="K63" s="71">
        <f t="shared" si="7"/>
        <v>551553.045048182</v>
      </c>
      <c r="L63" s="2"/>
      <c r="M63" s="72"/>
      <c r="N63" s="2"/>
      <c r="O63" s="2"/>
    </row>
    <row r="64" spans="1:15">
      <c r="A64" s="44">
        <f t="shared" si="0"/>
        <v>16</v>
      </c>
      <c r="B64" s="44">
        <f t="shared" si="1"/>
        <v>40</v>
      </c>
      <c r="C64" s="45">
        <f t="shared" si="2"/>
        <v>0.06</v>
      </c>
      <c r="D64" s="47">
        <f t="shared" si="8"/>
        <v>67293.4169162065</v>
      </c>
      <c r="E64" s="47">
        <f t="shared" si="3"/>
        <v>23785.5294290971</v>
      </c>
      <c r="F64" s="47" t="str">
        <f t="shared" si="9"/>
        <v/>
      </c>
      <c r="G64" s="47">
        <f t="shared" si="4"/>
        <v>2018.80250748619</v>
      </c>
      <c r="H64" s="47">
        <f t="shared" si="10"/>
        <v>0</v>
      </c>
      <c r="I64" s="47">
        <f t="shared" si="5"/>
        <v>0</v>
      </c>
      <c r="J64" s="71">
        <f t="shared" si="6"/>
        <v>33093.1827028909</v>
      </c>
      <c r="K64" s="71">
        <f t="shared" si="7"/>
        <v>610450.559687656</v>
      </c>
      <c r="L64" s="2"/>
      <c r="M64" s="72"/>
      <c r="N64" s="2"/>
      <c r="O64" s="2"/>
    </row>
    <row r="65" spans="1:15">
      <c r="A65" s="44">
        <f t="shared" si="0"/>
        <v>17</v>
      </c>
      <c r="B65" s="44">
        <f t="shared" si="1"/>
        <v>41</v>
      </c>
      <c r="C65" s="45">
        <f t="shared" si="2"/>
        <v>0.06</v>
      </c>
      <c r="D65" s="47">
        <f t="shared" si="8"/>
        <v>68639.2852545306</v>
      </c>
      <c r="E65" s="47">
        <f t="shared" si="3"/>
        <v>24261.240017679</v>
      </c>
      <c r="F65" s="47" t="str">
        <f t="shared" si="9"/>
        <v/>
      </c>
      <c r="G65" s="47">
        <f t="shared" si="4"/>
        <v>2059.17855763592</v>
      </c>
      <c r="H65" s="47">
        <f t="shared" si="10"/>
        <v>0</v>
      </c>
      <c r="I65" s="47">
        <f t="shared" si="5"/>
        <v>0</v>
      </c>
      <c r="J65" s="71">
        <f t="shared" si="6"/>
        <v>36627.0335812595</v>
      </c>
      <c r="K65" s="71">
        <f t="shared" si="7"/>
        <v>673398.011844231</v>
      </c>
      <c r="L65" s="2"/>
      <c r="M65" s="72"/>
      <c r="N65" s="2"/>
      <c r="O65" s="2"/>
    </row>
    <row r="66" spans="1:15">
      <c r="A66" s="44">
        <f t="shared" si="0"/>
        <v>18</v>
      </c>
      <c r="B66" s="44">
        <f t="shared" si="1"/>
        <v>42</v>
      </c>
      <c r="C66" s="45">
        <f t="shared" si="2"/>
        <v>0.06</v>
      </c>
      <c r="D66" s="47">
        <f t="shared" si="8"/>
        <v>70012.0709596212</v>
      </c>
      <c r="E66" s="47">
        <f t="shared" si="3"/>
        <v>24746.4648180326</v>
      </c>
      <c r="F66" s="47" t="str">
        <f t="shared" si="9"/>
        <v/>
      </c>
      <c r="G66" s="47">
        <f t="shared" si="4"/>
        <v>2100.36212878864</v>
      </c>
      <c r="H66" s="47">
        <f t="shared" si="10"/>
        <v>0</v>
      </c>
      <c r="I66" s="47">
        <f t="shared" si="5"/>
        <v>0</v>
      </c>
      <c r="J66" s="71">
        <f t="shared" si="6"/>
        <v>40403.880710654</v>
      </c>
      <c r="K66" s="71">
        <f t="shared" si="7"/>
        <v>740648.719501706</v>
      </c>
      <c r="L66" s="2"/>
      <c r="M66" s="72"/>
      <c r="N66" s="2"/>
      <c r="O66" s="2"/>
    </row>
    <row r="67" spans="1:15">
      <c r="A67" s="44">
        <f t="shared" si="0"/>
        <v>19</v>
      </c>
      <c r="B67" s="44">
        <f t="shared" si="1"/>
        <v>43</v>
      </c>
      <c r="C67" s="45">
        <f t="shared" si="2"/>
        <v>0.06</v>
      </c>
      <c r="D67" s="47">
        <f t="shared" si="8"/>
        <v>71412.3123788137</v>
      </c>
      <c r="E67" s="47">
        <f t="shared" si="3"/>
        <v>25241.3941143933</v>
      </c>
      <c r="F67" s="47" t="str">
        <f t="shared" si="9"/>
        <v/>
      </c>
      <c r="G67" s="47">
        <f t="shared" si="4"/>
        <v>2142.36937136441</v>
      </c>
      <c r="H67" s="47">
        <f t="shared" si="10"/>
        <v>0</v>
      </c>
      <c r="I67" s="47">
        <f t="shared" si="5"/>
        <v>0</v>
      </c>
      <c r="J67" s="71">
        <f t="shared" si="6"/>
        <v>44438.9231701025</v>
      </c>
      <c r="K67" s="71">
        <f t="shared" si="7"/>
        <v>812471.406157566</v>
      </c>
      <c r="L67" s="2"/>
      <c r="M67" s="72"/>
      <c r="N67" s="2"/>
      <c r="O67" s="2"/>
    </row>
    <row r="68" spans="1:15">
      <c r="A68" s="44">
        <f t="shared" si="0"/>
        <v>20</v>
      </c>
      <c r="B68" s="44">
        <f t="shared" si="1"/>
        <v>44</v>
      </c>
      <c r="C68" s="45">
        <f t="shared" si="2"/>
        <v>0.06</v>
      </c>
      <c r="D68" s="47">
        <f t="shared" si="8"/>
        <v>72840.5586263899</v>
      </c>
      <c r="E68" s="47">
        <f t="shared" si="3"/>
        <v>25746.2219966811</v>
      </c>
      <c r="F68" s="47" t="str">
        <f t="shared" si="9"/>
        <v/>
      </c>
      <c r="G68" s="47">
        <f t="shared" si="4"/>
        <v>2185.2167587917</v>
      </c>
      <c r="H68" s="47">
        <f t="shared" si="10"/>
        <v>0</v>
      </c>
      <c r="I68" s="47">
        <f t="shared" si="5"/>
        <v>0</v>
      </c>
      <c r="J68" s="71">
        <f t="shared" si="6"/>
        <v>48748.284369454</v>
      </c>
      <c r="K68" s="71">
        <f t="shared" si="7"/>
        <v>889151.129282493</v>
      </c>
      <c r="L68" s="2"/>
      <c r="M68" s="72"/>
      <c r="N68" s="2"/>
      <c r="O68" s="2"/>
    </row>
    <row r="69" spans="1:15">
      <c r="A69" s="44">
        <f t="shared" si="0"/>
        <v>21</v>
      </c>
      <c r="B69" s="44">
        <f t="shared" si="1"/>
        <v>45</v>
      </c>
      <c r="C69" s="45">
        <f t="shared" si="2"/>
        <v>0.06</v>
      </c>
      <c r="D69" s="47">
        <f t="shared" si="8"/>
        <v>74297.3697989177</v>
      </c>
      <c r="E69" s="47">
        <f t="shared" si="3"/>
        <v>26261.1464366148</v>
      </c>
      <c r="F69" s="47" t="str">
        <f t="shared" si="9"/>
        <v/>
      </c>
      <c r="G69" s="47">
        <f t="shared" si="4"/>
        <v>2228.92109396753</v>
      </c>
      <c r="H69" s="47">
        <f t="shared" si="10"/>
        <v>0</v>
      </c>
      <c r="I69" s="47">
        <f t="shared" si="5"/>
        <v>0</v>
      </c>
      <c r="J69" s="71">
        <f t="shared" si="6"/>
        <v>53349.0677569496</v>
      </c>
      <c r="K69" s="71">
        <f t="shared" si="7"/>
        <v>970990.264570025</v>
      </c>
      <c r="L69" s="2"/>
      <c r="M69" s="72"/>
      <c r="N69" s="2"/>
      <c r="O69" s="2"/>
    </row>
    <row r="70" spans="1:15">
      <c r="A70" s="44">
        <f t="shared" si="0"/>
        <v>22</v>
      </c>
      <c r="B70" s="44">
        <f t="shared" si="1"/>
        <v>46</v>
      </c>
      <c r="C70" s="45">
        <f t="shared" si="2"/>
        <v>0.06</v>
      </c>
      <c r="D70" s="47">
        <f t="shared" si="8"/>
        <v>75783.3171948961</v>
      </c>
      <c r="E70" s="47">
        <f t="shared" si="3"/>
        <v>26786.3693653471</v>
      </c>
      <c r="F70" s="47" t="str">
        <f t="shared" si="9"/>
        <v/>
      </c>
      <c r="G70" s="47">
        <f t="shared" si="4"/>
        <v>2273.49951584688</v>
      </c>
      <c r="H70" s="47">
        <f t="shared" si="10"/>
        <v>0</v>
      </c>
      <c r="I70" s="47">
        <f t="shared" si="5"/>
        <v>0</v>
      </c>
      <c r="J70" s="71">
        <f t="shared" si="6"/>
        <v>58259.4158742017</v>
      </c>
      <c r="K70" s="71">
        <f t="shared" si="7"/>
        <v>1058309.54932542</v>
      </c>
      <c r="L70" s="2"/>
      <c r="M70" s="72"/>
      <c r="N70" s="2"/>
      <c r="O70" s="2"/>
    </row>
    <row r="71" spans="1:15">
      <c r="A71" s="44">
        <f t="shared" si="0"/>
        <v>23</v>
      </c>
      <c r="B71" s="44">
        <f t="shared" si="1"/>
        <v>47</v>
      </c>
      <c r="C71" s="45">
        <f t="shared" si="2"/>
        <v>0.06</v>
      </c>
      <c r="D71" s="47">
        <f t="shared" si="8"/>
        <v>77298.983538794</v>
      </c>
      <c r="E71" s="47">
        <f t="shared" si="3"/>
        <v>27322.096752654</v>
      </c>
      <c r="F71" s="47" t="str">
        <f t="shared" si="9"/>
        <v/>
      </c>
      <c r="G71" s="47">
        <f t="shared" si="4"/>
        <v>2318.96950616382</v>
      </c>
      <c r="H71" s="47">
        <f t="shared" si="10"/>
        <v>0</v>
      </c>
      <c r="I71" s="47">
        <f t="shared" si="5"/>
        <v>0</v>
      </c>
      <c r="J71" s="71">
        <f t="shared" si="6"/>
        <v>63498.5729595253</v>
      </c>
      <c r="K71" s="71">
        <f t="shared" si="7"/>
        <v>1151449.18854376</v>
      </c>
      <c r="L71" s="2"/>
      <c r="M71" s="72"/>
      <c r="N71" s="2"/>
      <c r="O71" s="2"/>
    </row>
    <row r="72" spans="1:15">
      <c r="A72" s="44">
        <f t="shared" si="0"/>
        <v>24</v>
      </c>
      <c r="B72" s="44">
        <f t="shared" si="1"/>
        <v>48</v>
      </c>
      <c r="C72" s="45">
        <f t="shared" si="2"/>
        <v>0.06</v>
      </c>
      <c r="D72" s="47">
        <f t="shared" si="8"/>
        <v>78844.9632095699</v>
      </c>
      <c r="E72" s="47">
        <f t="shared" si="3"/>
        <v>27868.5386877071</v>
      </c>
      <c r="F72" s="47" t="str">
        <f t="shared" si="9"/>
        <v/>
      </c>
      <c r="G72" s="47">
        <f t="shared" si="4"/>
        <v>2365.3488962871</v>
      </c>
      <c r="H72" s="47">
        <f t="shared" si="10"/>
        <v>0</v>
      </c>
      <c r="I72" s="47">
        <f t="shared" si="5"/>
        <v>0</v>
      </c>
      <c r="J72" s="71">
        <f t="shared" si="6"/>
        <v>69086.9513126258</v>
      </c>
      <c r="K72" s="71">
        <f t="shared" si="7"/>
        <v>1250770.02744038</v>
      </c>
      <c r="L72" s="2"/>
      <c r="M72" s="72"/>
      <c r="N72" s="2"/>
      <c r="O72" s="2"/>
    </row>
    <row r="73" spans="1:15">
      <c r="A73" s="44">
        <f t="shared" si="0"/>
        <v>25</v>
      </c>
      <c r="B73" s="44">
        <f t="shared" si="1"/>
        <v>49</v>
      </c>
      <c r="C73" s="45">
        <f t="shared" si="2"/>
        <v>0.06</v>
      </c>
      <c r="D73" s="47">
        <f t="shared" si="8"/>
        <v>80421.8624737613</v>
      </c>
      <c r="E73" s="47">
        <f t="shared" si="3"/>
        <v>28425.9094614612</v>
      </c>
      <c r="F73" s="47" t="str">
        <f t="shared" si="9"/>
        <v/>
      </c>
      <c r="G73" s="47">
        <f t="shared" si="4"/>
        <v>2412.65587421284</v>
      </c>
      <c r="H73" s="47">
        <f t="shared" si="10"/>
        <v>0</v>
      </c>
      <c r="I73" s="47">
        <f t="shared" si="5"/>
        <v>0</v>
      </c>
      <c r="J73" s="71">
        <f t="shared" si="6"/>
        <v>75046.201646423</v>
      </c>
      <c r="K73" s="71">
        <f t="shared" si="7"/>
        <v>1356654.79442248</v>
      </c>
      <c r="L73" s="2"/>
      <c r="M73" s="72"/>
      <c r="N73" s="2"/>
      <c r="O73" s="2"/>
    </row>
    <row r="74" spans="1:15">
      <c r="A74" s="44">
        <f t="shared" si="0"/>
        <v>26</v>
      </c>
      <c r="B74" s="44">
        <f t="shared" si="1"/>
        <v>50</v>
      </c>
      <c r="C74" s="45">
        <f t="shared" si="2"/>
        <v>0.06</v>
      </c>
      <c r="D74" s="47">
        <f t="shared" si="8"/>
        <v>82030.2997232365</v>
      </c>
      <c r="E74" s="47">
        <f t="shared" si="3"/>
        <v>28994.4276506904</v>
      </c>
      <c r="F74" s="47" t="str">
        <f t="shared" si="9"/>
        <v/>
      </c>
      <c r="G74" s="47">
        <f t="shared" si="4"/>
        <v>2460.9089916971</v>
      </c>
      <c r="H74" s="47">
        <f t="shared" si="10"/>
        <v>0</v>
      </c>
      <c r="I74" s="47">
        <f t="shared" si="5"/>
        <v>0</v>
      </c>
      <c r="J74" s="71">
        <f t="shared" si="6"/>
        <v>81399.287665349</v>
      </c>
      <c r="K74" s="71">
        <f t="shared" si="7"/>
        <v>1469509.41873022</v>
      </c>
      <c r="L74" s="2"/>
      <c r="M74" s="72"/>
      <c r="N74" s="2"/>
      <c r="O74" s="2"/>
    </row>
    <row r="75" spans="1:15">
      <c r="A75" s="44">
        <f t="shared" si="0"/>
        <v>27</v>
      </c>
      <c r="B75" s="44">
        <f t="shared" si="1"/>
        <v>51</v>
      </c>
      <c r="C75" s="45">
        <f t="shared" si="2"/>
        <v>0.06</v>
      </c>
      <c r="D75" s="47">
        <f t="shared" si="8"/>
        <v>83670.9057177013</v>
      </c>
      <c r="E75" s="47">
        <f t="shared" si="3"/>
        <v>29574.3162037043</v>
      </c>
      <c r="F75" s="47" t="str">
        <f t="shared" si="9"/>
        <v/>
      </c>
      <c r="G75" s="47">
        <f t="shared" si="4"/>
        <v>2510.12717153104</v>
      </c>
      <c r="H75" s="47">
        <f t="shared" si="10"/>
        <v>0</v>
      </c>
      <c r="I75" s="47">
        <f t="shared" si="5"/>
        <v>0</v>
      </c>
      <c r="J75" s="71">
        <f t="shared" si="6"/>
        <v>88170.565123813</v>
      </c>
      <c r="K75" s="71">
        <f t="shared" si="7"/>
        <v>1589764.42722927</v>
      </c>
      <c r="L75" s="2"/>
      <c r="M75" s="72"/>
      <c r="N75" s="2"/>
      <c r="O75" s="2"/>
    </row>
    <row r="76" spans="1:15">
      <c r="A76" s="44">
        <f t="shared" si="0"/>
        <v>28</v>
      </c>
      <c r="B76" s="44">
        <f t="shared" si="1"/>
        <v>52</v>
      </c>
      <c r="C76" s="45">
        <f t="shared" si="2"/>
        <v>0.06</v>
      </c>
      <c r="D76" s="47">
        <f t="shared" si="8"/>
        <v>85344.3238320553</v>
      </c>
      <c r="E76" s="47">
        <f t="shared" si="3"/>
        <v>30165.8025277783</v>
      </c>
      <c r="F76" s="47" t="str">
        <f t="shared" si="9"/>
        <v/>
      </c>
      <c r="G76" s="47">
        <f t="shared" si="4"/>
        <v>2560.32971496166</v>
      </c>
      <c r="H76" s="47">
        <f t="shared" si="10"/>
        <v>0</v>
      </c>
      <c r="I76" s="47">
        <f t="shared" si="5"/>
        <v>0</v>
      </c>
      <c r="J76" s="71">
        <f t="shared" si="6"/>
        <v>95385.8656337562</v>
      </c>
      <c r="K76" s="71">
        <f t="shared" si="7"/>
        <v>1717876.42510576</v>
      </c>
      <c r="L76" s="2"/>
      <c r="M76" s="72"/>
      <c r="N76" s="2"/>
      <c r="O76" s="2"/>
    </row>
    <row r="77" spans="1:15">
      <c r="A77" s="44">
        <f t="shared" si="0"/>
        <v>29</v>
      </c>
      <c r="B77" s="44">
        <f t="shared" si="1"/>
        <v>53</v>
      </c>
      <c r="C77" s="45">
        <f t="shared" si="2"/>
        <v>0.06</v>
      </c>
      <c r="D77" s="47">
        <f t="shared" si="8"/>
        <v>87051.2103086964</v>
      </c>
      <c r="E77" s="47">
        <f t="shared" si="3"/>
        <v>30769.1185783339</v>
      </c>
      <c r="F77" s="47" t="str">
        <f t="shared" si="9"/>
        <v/>
      </c>
      <c r="G77" s="47">
        <f t="shared" si="4"/>
        <v>2611.53630926089</v>
      </c>
      <c r="H77" s="47">
        <f t="shared" si="10"/>
        <v>0</v>
      </c>
      <c r="I77" s="47">
        <f t="shared" si="5"/>
        <v>0</v>
      </c>
      <c r="J77" s="71">
        <f t="shared" si="6"/>
        <v>103072.585506346</v>
      </c>
      <c r="K77" s="71">
        <f t="shared" si="7"/>
        <v>1854329.6654997</v>
      </c>
      <c r="L77" s="2"/>
      <c r="M77" s="72"/>
      <c r="N77" s="2"/>
      <c r="O77" s="2"/>
    </row>
    <row r="78" spans="1:15">
      <c r="A78" s="44">
        <f t="shared" si="0"/>
        <v>30</v>
      </c>
      <c r="B78" s="44">
        <f t="shared" si="1"/>
        <v>54</v>
      </c>
      <c r="C78" s="45">
        <f t="shared" si="2"/>
        <v>0.06</v>
      </c>
      <c r="D78" s="47">
        <f t="shared" si="8"/>
        <v>88792.2345148703</v>
      </c>
      <c r="E78" s="47">
        <f t="shared" si="3"/>
        <v>31384.5009499006</v>
      </c>
      <c r="F78" s="47" t="str">
        <f t="shared" si="9"/>
        <v/>
      </c>
      <c r="G78" s="47">
        <f t="shared" si="4"/>
        <v>2663.76703544611</v>
      </c>
      <c r="H78" s="47">
        <f t="shared" si="10"/>
        <v>0</v>
      </c>
      <c r="I78" s="47">
        <f t="shared" si="5"/>
        <v>0</v>
      </c>
      <c r="J78" s="71">
        <f t="shared" si="6"/>
        <v>111259.779929982</v>
      </c>
      <c r="K78" s="71">
        <f t="shared" si="7"/>
        <v>1999637.71341503</v>
      </c>
      <c r="L78" s="2"/>
      <c r="M78" s="72"/>
      <c r="N78" s="2"/>
      <c r="O78" s="2"/>
    </row>
    <row r="79" spans="1:15">
      <c r="A79" s="44">
        <f t="shared" si="0"/>
        <v>31</v>
      </c>
      <c r="B79" s="44">
        <f t="shared" si="1"/>
        <v>55</v>
      </c>
      <c r="C79" s="45">
        <f t="shared" si="2"/>
        <v>0.06</v>
      </c>
      <c r="D79" s="47">
        <f t="shared" si="8"/>
        <v>90568.0792051677</v>
      </c>
      <c r="E79" s="47">
        <f t="shared" si="3"/>
        <v>32012.1909688986</v>
      </c>
      <c r="F79" s="47" t="str">
        <f t="shared" si="9"/>
        <v/>
      </c>
      <c r="G79" s="47">
        <f t="shared" si="4"/>
        <v>2717.04237615503</v>
      </c>
      <c r="H79" s="47">
        <f t="shared" si="10"/>
        <v>0</v>
      </c>
      <c r="I79" s="47">
        <f t="shared" si="5"/>
        <v>0</v>
      </c>
      <c r="J79" s="71">
        <f t="shared" si="6"/>
        <v>119978.262804902</v>
      </c>
      <c r="K79" s="71">
        <f t="shared" si="7"/>
        <v>2154345.20956499</v>
      </c>
      <c r="L79" s="2"/>
      <c r="M79" s="72"/>
      <c r="N79" s="2"/>
      <c r="O79" s="2"/>
    </row>
    <row r="80" spans="1:15">
      <c r="A80" s="44">
        <f t="shared" si="0"/>
        <v>32</v>
      </c>
      <c r="B80" s="44">
        <f t="shared" si="1"/>
        <v>56</v>
      </c>
      <c r="C80" s="45">
        <f t="shared" si="2"/>
        <v>0.06</v>
      </c>
      <c r="D80" s="47">
        <f t="shared" si="8"/>
        <v>92379.4407892711</v>
      </c>
      <c r="E80" s="47">
        <f t="shared" si="3"/>
        <v>32652.4347882766</v>
      </c>
      <c r="F80" s="47" t="str">
        <f t="shared" si="9"/>
        <v/>
      </c>
      <c r="G80" s="47">
        <f t="shared" si="4"/>
        <v>2771.38322367813</v>
      </c>
      <c r="H80" s="47">
        <f t="shared" si="10"/>
        <v>0</v>
      </c>
      <c r="I80" s="47">
        <f t="shared" si="5"/>
        <v>0</v>
      </c>
      <c r="J80" s="71">
        <f t="shared" si="6"/>
        <v>129260.7125739</v>
      </c>
      <c r="K80" s="71">
        <f t="shared" si="7"/>
        <v>2319029.74015084</v>
      </c>
      <c r="L80" s="2"/>
      <c r="M80" s="72"/>
      <c r="N80" s="2"/>
      <c r="O80" s="2"/>
    </row>
    <row r="81" spans="1:15">
      <c r="A81" s="44">
        <f t="shared" si="0"/>
        <v>33</v>
      </c>
      <c r="B81" s="44">
        <f t="shared" si="1"/>
        <v>57</v>
      </c>
      <c r="C81" s="45">
        <f t="shared" ref="C81:C112" si="11">IF(ISERROR(A81),NA(),IF(B81&lt;$E$10,$E$15,$E$16))</f>
        <v>0.06</v>
      </c>
      <c r="D81" s="47">
        <f t="shared" si="8"/>
        <v>94227.0296050565</v>
      </c>
      <c r="E81" s="47">
        <f t="shared" ref="E81:E112" si="12">IF(ISERROR(A81),NA(),IF(B81=$E$10-1,$K$26,0)+IF(A81&lt;=$E$12,$K$31*D81,0))</f>
        <v>33305.4834840421</v>
      </c>
      <c r="F81" s="47" t="str">
        <f t="shared" si="9"/>
        <v/>
      </c>
      <c r="G81" s="47">
        <f t="shared" ref="G81:G112" si="13">IF(ISERROR(A81),NA(),IF(A81&lt;=$E$12,MIN($E$25*E81,$E$26*$E$25*D81),0))</f>
        <v>2826.8108881517</v>
      </c>
      <c r="H81" s="47">
        <f t="shared" si="10"/>
        <v>0</v>
      </c>
      <c r="I81" s="47">
        <f t="shared" ref="I81:I112" si="14">IF(ISERROR(A81),NA(),IF(B81&gt;=$E$10,D81-H81,0))</f>
        <v>0</v>
      </c>
      <c r="J81" s="71">
        <f t="shared" ref="J81:J112" si="15">IF(ISERROR(A81),NA(),FV(C81/$E$43,$E$43,-(E81+G81)/$E$43,-(K80-I81*$E$44),0)-(K80+E81+G81-I81*$E$44))</f>
        <v>139141.784409051</v>
      </c>
      <c r="K81" s="71">
        <f t="shared" ref="K81:K112" si="16">IF(ISERROR(A81),NA(),K80+E81+G81+J81-I81)</f>
        <v>2494303.81893209</v>
      </c>
      <c r="L81" s="2"/>
      <c r="M81" s="72"/>
      <c r="N81" s="2"/>
      <c r="O81" s="2"/>
    </row>
    <row r="82" spans="1:15">
      <c r="A82" s="44">
        <f t="shared" si="0"/>
        <v>34</v>
      </c>
      <c r="B82" s="44">
        <f t="shared" si="1"/>
        <v>58</v>
      </c>
      <c r="C82" s="45">
        <f t="shared" si="11"/>
        <v>0.06</v>
      </c>
      <c r="D82" s="47">
        <f t="shared" ref="D82:D113" si="17">IF(ISERROR(A82),NA(),IF(B82&gt;=$E$10,$K$10*(1+$E$17)^(B82-$E$10),(1+$E$21)*D81))</f>
        <v>96111.5701971576</v>
      </c>
      <c r="E82" s="47">
        <f t="shared" si="12"/>
        <v>33971.593153723</v>
      </c>
      <c r="F82" s="47" t="str">
        <f t="shared" si="9"/>
        <v/>
      </c>
      <c r="G82" s="47">
        <f t="shared" si="13"/>
        <v>2883.34710591473</v>
      </c>
      <c r="H82" s="47">
        <f t="shared" si="10"/>
        <v>0</v>
      </c>
      <c r="I82" s="47">
        <f t="shared" si="14"/>
        <v>0</v>
      </c>
      <c r="J82" s="71">
        <f t="shared" si="15"/>
        <v>149658.229135925</v>
      </c>
      <c r="K82" s="71">
        <f t="shared" si="16"/>
        <v>2680816.98832765</v>
      </c>
      <c r="L82" s="2"/>
      <c r="M82" s="72"/>
      <c r="N82" s="2"/>
      <c r="O82" s="2"/>
    </row>
    <row r="83" spans="1:15">
      <c r="A83" s="44">
        <f t="shared" si="0"/>
        <v>35</v>
      </c>
      <c r="B83" s="44">
        <f t="shared" si="1"/>
        <v>59</v>
      </c>
      <c r="C83" s="45">
        <f t="shared" si="11"/>
        <v>0.06</v>
      </c>
      <c r="D83" s="47">
        <f t="shared" si="17"/>
        <v>98033.8016011008</v>
      </c>
      <c r="E83" s="47">
        <f t="shared" si="12"/>
        <v>34651.0250167974</v>
      </c>
      <c r="F83" s="47" t="str">
        <f t="shared" si="9"/>
        <v/>
      </c>
      <c r="G83" s="47">
        <f t="shared" si="13"/>
        <v>2941.01404803302</v>
      </c>
      <c r="H83" s="47">
        <f t="shared" si="10"/>
        <v>0</v>
      </c>
      <c r="I83" s="47">
        <f t="shared" si="14"/>
        <v>0</v>
      </c>
      <c r="J83" s="71">
        <f t="shared" si="15"/>
        <v>160849.019299659</v>
      </c>
      <c r="K83" s="71">
        <f t="shared" si="16"/>
        <v>2879258.04669214</v>
      </c>
      <c r="L83" s="2"/>
      <c r="M83" s="72"/>
      <c r="N83" s="2"/>
      <c r="O83" s="2"/>
    </row>
    <row r="84" spans="1:15">
      <c r="A84" s="44">
        <f t="shared" si="0"/>
        <v>36</v>
      </c>
      <c r="B84" s="44">
        <f t="shared" si="1"/>
        <v>60</v>
      </c>
      <c r="C84" s="45">
        <f t="shared" si="11"/>
        <v>0.06</v>
      </c>
      <c r="D84" s="47">
        <f t="shared" si="17"/>
        <v>99994.4776331228</v>
      </c>
      <c r="E84" s="47">
        <f t="shared" si="12"/>
        <v>35344.0455171334</v>
      </c>
      <c r="F84" s="47" t="str">
        <f t="shared" si="9"/>
        <v/>
      </c>
      <c r="G84" s="47">
        <f t="shared" si="13"/>
        <v>2999.83432899368</v>
      </c>
      <c r="H84" s="47">
        <f t="shared" si="10"/>
        <v>0</v>
      </c>
      <c r="I84" s="47">
        <f t="shared" si="14"/>
        <v>0</v>
      </c>
      <c r="J84" s="71">
        <f t="shared" si="15"/>
        <v>172755.482801529</v>
      </c>
      <c r="K84" s="71">
        <f t="shared" si="16"/>
        <v>3090357.40933979</v>
      </c>
      <c r="L84" s="2"/>
      <c r="M84" s="72"/>
      <c r="N84" s="2"/>
      <c r="O84" s="2"/>
    </row>
    <row r="85" spans="1:15">
      <c r="A85" s="44">
        <f t="shared" si="0"/>
        <v>37</v>
      </c>
      <c r="B85" s="44">
        <f t="shared" si="1"/>
        <v>61</v>
      </c>
      <c r="C85" s="45">
        <f t="shared" si="11"/>
        <v>0.06</v>
      </c>
      <c r="D85" s="47">
        <f t="shared" si="17"/>
        <v>101994.367185785</v>
      </c>
      <c r="E85" s="47">
        <f t="shared" si="12"/>
        <v>36050.926427476</v>
      </c>
      <c r="F85" s="47" t="str">
        <f t="shared" si="9"/>
        <v/>
      </c>
      <c r="G85" s="47">
        <f t="shared" si="13"/>
        <v>3059.83101557356</v>
      </c>
      <c r="H85" s="47">
        <f t="shared" si="10"/>
        <v>0</v>
      </c>
      <c r="I85" s="47">
        <f t="shared" si="14"/>
        <v>0</v>
      </c>
      <c r="J85" s="71">
        <f t="shared" si="15"/>
        <v>185421.444560388</v>
      </c>
      <c r="K85" s="71">
        <f t="shared" si="16"/>
        <v>3314889.61134323</v>
      </c>
      <c r="L85" s="2"/>
      <c r="M85" s="72"/>
      <c r="N85" s="2"/>
      <c r="O85" s="2"/>
    </row>
    <row r="86" spans="1:15">
      <c r="A86" s="44">
        <f t="shared" si="0"/>
        <v>38</v>
      </c>
      <c r="B86" s="44">
        <f t="shared" si="1"/>
        <v>62</v>
      </c>
      <c r="C86" s="45">
        <f t="shared" si="11"/>
        <v>0.06</v>
      </c>
      <c r="D86" s="47">
        <f t="shared" si="17"/>
        <v>104034.254529501</v>
      </c>
      <c r="E86" s="47">
        <f t="shared" si="12"/>
        <v>36771.9449560255</v>
      </c>
      <c r="F86" s="47" t="str">
        <f t="shared" si="9"/>
        <v/>
      </c>
      <c r="G86" s="47">
        <f t="shared" si="13"/>
        <v>3121.02763588503</v>
      </c>
      <c r="H86" s="47">
        <f t="shared" si="10"/>
        <v>0</v>
      </c>
      <c r="I86" s="47">
        <f t="shared" si="14"/>
        <v>0</v>
      </c>
      <c r="J86" s="71">
        <f t="shared" si="15"/>
        <v>198893.376680594</v>
      </c>
      <c r="K86" s="71">
        <f t="shared" si="16"/>
        <v>3553675.96061574</v>
      </c>
      <c r="L86" s="2"/>
      <c r="M86" s="72"/>
      <c r="N86" s="2"/>
      <c r="O86" s="2"/>
    </row>
    <row r="87" spans="1:15">
      <c r="A87" s="44">
        <f t="shared" si="0"/>
        <v>39</v>
      </c>
      <c r="B87" s="44">
        <f t="shared" si="1"/>
        <v>63</v>
      </c>
      <c r="C87" s="45">
        <f t="shared" si="11"/>
        <v>0.06</v>
      </c>
      <c r="D87" s="47">
        <f t="shared" si="17"/>
        <v>106114.939620091</v>
      </c>
      <c r="E87" s="47">
        <f t="shared" si="12"/>
        <v>37507.3838551461</v>
      </c>
      <c r="F87" s="47" t="str">
        <f t="shared" si="9"/>
        <v/>
      </c>
      <c r="G87" s="47">
        <f t="shared" si="13"/>
        <v>3183.44818860273</v>
      </c>
      <c r="H87" s="47">
        <f t="shared" si="10"/>
        <v>0</v>
      </c>
      <c r="I87" s="47">
        <f t="shared" si="14"/>
        <v>0</v>
      </c>
      <c r="J87" s="71">
        <f t="shared" si="15"/>
        <v>213220.557636944</v>
      </c>
      <c r="K87" s="71">
        <f t="shared" si="16"/>
        <v>3807587.35029643</v>
      </c>
      <c r="L87" s="2"/>
      <c r="M87" s="72"/>
      <c r="N87" s="2"/>
      <c r="O87" s="2"/>
    </row>
    <row r="88" spans="1:15">
      <c r="A88" s="44">
        <f t="shared" si="0"/>
        <v>40</v>
      </c>
      <c r="B88" s="44">
        <f t="shared" si="1"/>
        <v>64</v>
      </c>
      <c r="C88" s="45">
        <f t="shared" si="11"/>
        <v>0.06</v>
      </c>
      <c r="D88" s="47">
        <f t="shared" si="17"/>
        <v>108237.238412493</v>
      </c>
      <c r="E88" s="47">
        <f t="shared" si="12"/>
        <v>38257.531532249</v>
      </c>
      <c r="F88" s="47" t="str">
        <f t="shared" si="9"/>
        <v/>
      </c>
      <c r="G88" s="47">
        <f t="shared" si="13"/>
        <v>3247.11715237478</v>
      </c>
      <c r="H88" s="47">
        <f t="shared" si="10"/>
        <v>0</v>
      </c>
      <c r="I88" s="47">
        <f t="shared" si="14"/>
        <v>0</v>
      </c>
      <c r="J88" s="71">
        <f t="shared" si="15"/>
        <v>228455.241017786</v>
      </c>
      <c r="K88" s="71">
        <f t="shared" si="16"/>
        <v>4077547.23999884</v>
      </c>
      <c r="L88" s="2"/>
      <c r="M88" s="72"/>
      <c r="N88" s="2"/>
      <c r="O88" s="2"/>
    </row>
    <row r="89" spans="1:15">
      <c r="A89" s="44">
        <f t="shared" si="0"/>
        <v>41</v>
      </c>
      <c r="B89" s="44">
        <f t="shared" si="1"/>
        <v>65</v>
      </c>
      <c r="C89" s="45">
        <f t="shared" si="11"/>
        <v>0.03</v>
      </c>
      <c r="D89" s="47">
        <f t="shared" si="17"/>
        <v>163101.889599954</v>
      </c>
      <c r="E89" s="47">
        <f t="shared" si="12"/>
        <v>0</v>
      </c>
      <c r="F89" s="47" t="str">
        <f t="shared" si="9"/>
        <v/>
      </c>
      <c r="G89" s="47">
        <f t="shared" si="13"/>
        <v>0</v>
      </c>
      <c r="H89" s="47">
        <f t="shared" si="10"/>
        <v>0</v>
      </c>
      <c r="I89" s="47">
        <f t="shared" si="14"/>
        <v>163101.889599954</v>
      </c>
      <c r="J89" s="71">
        <f t="shared" si="15"/>
        <v>117433.360511967</v>
      </c>
      <c r="K89" s="71">
        <f t="shared" si="16"/>
        <v>4031878.71091085</v>
      </c>
      <c r="L89" s="2"/>
      <c r="M89" s="72"/>
      <c r="N89" s="2"/>
      <c r="O89" s="2"/>
    </row>
    <row r="90" spans="1:15">
      <c r="A90" s="44">
        <f t="shared" si="0"/>
        <v>42</v>
      </c>
      <c r="B90" s="44">
        <f t="shared" si="1"/>
        <v>66</v>
      </c>
      <c r="C90" s="45">
        <f t="shared" si="11"/>
        <v>0.03</v>
      </c>
      <c r="D90" s="47">
        <f t="shared" si="17"/>
        <v>167994.946287952</v>
      </c>
      <c r="E90" s="47">
        <f t="shared" si="12"/>
        <v>0</v>
      </c>
      <c r="F90" s="47" t="str">
        <f t="shared" si="9"/>
        <v/>
      </c>
      <c r="G90" s="47">
        <f t="shared" si="13"/>
        <v>0</v>
      </c>
      <c r="H90" s="47">
        <f t="shared" si="10"/>
        <v>0</v>
      </c>
      <c r="I90" s="47">
        <f t="shared" si="14"/>
        <v>167994.946287952</v>
      </c>
      <c r="J90" s="71">
        <f t="shared" si="15"/>
        <v>115916.512938687</v>
      </c>
      <c r="K90" s="71">
        <f t="shared" si="16"/>
        <v>3979800.27756158</v>
      </c>
      <c r="L90" s="2"/>
      <c r="M90" s="72"/>
      <c r="N90" s="2"/>
      <c r="O90" s="2"/>
    </row>
    <row r="91" spans="1:15">
      <c r="A91" s="44">
        <f t="shared" si="0"/>
        <v>43</v>
      </c>
      <c r="B91" s="44">
        <f t="shared" si="1"/>
        <v>67</v>
      </c>
      <c r="C91" s="45">
        <f t="shared" si="11"/>
        <v>0.03</v>
      </c>
      <c r="D91" s="47">
        <f t="shared" si="17"/>
        <v>173034.794676591</v>
      </c>
      <c r="E91" s="47">
        <f t="shared" si="12"/>
        <v>0</v>
      </c>
      <c r="F91" s="47" t="str">
        <f t="shared" si="9"/>
        <v/>
      </c>
      <c r="G91" s="47">
        <f t="shared" si="13"/>
        <v>0</v>
      </c>
      <c r="H91" s="47">
        <f t="shared" si="10"/>
        <v>0</v>
      </c>
      <c r="I91" s="47">
        <f t="shared" si="14"/>
        <v>173034.794676591</v>
      </c>
      <c r="J91" s="71">
        <f t="shared" si="15"/>
        <v>114202.96448655</v>
      </c>
      <c r="K91" s="71">
        <f t="shared" si="16"/>
        <v>3920968.44737154</v>
      </c>
      <c r="L91" s="2"/>
      <c r="M91" s="72"/>
      <c r="N91" s="2"/>
      <c r="O91" s="2"/>
    </row>
    <row r="92" spans="1:15">
      <c r="A92" s="44">
        <f t="shared" si="0"/>
        <v>44</v>
      </c>
      <c r="B92" s="44">
        <f t="shared" si="1"/>
        <v>68</v>
      </c>
      <c r="C92" s="45">
        <f t="shared" si="11"/>
        <v>0.03</v>
      </c>
      <c r="D92" s="47">
        <f t="shared" si="17"/>
        <v>178225.838516888</v>
      </c>
      <c r="E92" s="47">
        <f t="shared" si="12"/>
        <v>0</v>
      </c>
      <c r="F92" s="47" t="str">
        <f t="shared" si="9"/>
        <v/>
      </c>
      <c r="G92" s="47">
        <f t="shared" si="13"/>
        <v>0</v>
      </c>
      <c r="H92" s="47">
        <f t="shared" si="10"/>
        <v>0</v>
      </c>
      <c r="I92" s="47">
        <f t="shared" si="14"/>
        <v>178225.838516888</v>
      </c>
      <c r="J92" s="71">
        <f t="shared" si="15"/>
        <v>112282.27826564</v>
      </c>
      <c r="K92" s="71">
        <f t="shared" si="16"/>
        <v>3855024.8871203</v>
      </c>
      <c r="L92" s="2"/>
      <c r="M92" s="72"/>
      <c r="N92" s="2"/>
      <c r="O92" s="2"/>
    </row>
    <row r="93" spans="1:15">
      <c r="A93" s="44">
        <f t="shared" si="0"/>
        <v>45</v>
      </c>
      <c r="B93" s="44">
        <f t="shared" si="1"/>
        <v>69</v>
      </c>
      <c r="C93" s="45">
        <f t="shared" si="11"/>
        <v>0.03</v>
      </c>
      <c r="D93" s="47">
        <f t="shared" si="17"/>
        <v>183572.613672395</v>
      </c>
      <c r="E93" s="47">
        <f t="shared" si="12"/>
        <v>0</v>
      </c>
      <c r="F93" s="47" t="str">
        <f t="shared" si="9"/>
        <v/>
      </c>
      <c r="G93" s="47">
        <f t="shared" si="13"/>
        <v>0</v>
      </c>
      <c r="H93" s="47">
        <f t="shared" si="10"/>
        <v>0</v>
      </c>
      <c r="I93" s="47">
        <f t="shared" si="14"/>
        <v>183572.613672395</v>
      </c>
      <c r="J93" s="71">
        <f t="shared" si="15"/>
        <v>110143.568203437</v>
      </c>
      <c r="K93" s="71">
        <f t="shared" si="16"/>
        <v>3781595.84165134</v>
      </c>
      <c r="L93" s="2"/>
      <c r="M93" s="72"/>
      <c r="N93" s="2"/>
      <c r="O93" s="2"/>
    </row>
    <row r="94" spans="1:15">
      <c r="A94" s="44">
        <f t="shared" si="0"/>
        <v>46</v>
      </c>
      <c r="B94" s="44">
        <f t="shared" si="1"/>
        <v>70</v>
      </c>
      <c r="C94" s="45">
        <f t="shared" si="11"/>
        <v>0.03</v>
      </c>
      <c r="D94" s="47">
        <f t="shared" si="17"/>
        <v>189079.792082567</v>
      </c>
      <c r="E94" s="47">
        <f t="shared" si="12"/>
        <v>0</v>
      </c>
      <c r="F94" s="47" t="str">
        <f t="shared" si="9"/>
        <v/>
      </c>
      <c r="G94" s="47">
        <f t="shared" si="13"/>
        <v>0</v>
      </c>
      <c r="H94" s="47">
        <f t="shared" si="10"/>
        <v>0</v>
      </c>
      <c r="I94" s="47">
        <f t="shared" si="14"/>
        <v>189079.792082567</v>
      </c>
      <c r="J94" s="71">
        <f t="shared" si="15"/>
        <v>107775.481487063</v>
      </c>
      <c r="K94" s="71">
        <f t="shared" si="16"/>
        <v>3700291.53105583</v>
      </c>
      <c r="L94" s="2"/>
      <c r="M94" s="72"/>
      <c r="N94" s="2"/>
      <c r="O94" s="2"/>
    </row>
    <row r="95" spans="1:15">
      <c r="A95" s="44">
        <f t="shared" si="0"/>
        <v>47</v>
      </c>
      <c r="B95" s="44">
        <f t="shared" si="1"/>
        <v>71</v>
      </c>
      <c r="C95" s="45">
        <f t="shared" si="11"/>
        <v>0.03</v>
      </c>
      <c r="D95" s="47">
        <f t="shared" si="17"/>
        <v>194752.185845044</v>
      </c>
      <c r="E95" s="47">
        <f t="shared" si="12"/>
        <v>0</v>
      </c>
      <c r="F95" s="47" t="str">
        <f t="shared" si="9"/>
        <v/>
      </c>
      <c r="G95" s="47">
        <f t="shared" si="13"/>
        <v>0</v>
      </c>
      <c r="H95" s="47">
        <f t="shared" si="10"/>
        <v>0</v>
      </c>
      <c r="I95" s="47">
        <f t="shared" si="14"/>
        <v>194752.185845044</v>
      </c>
      <c r="J95" s="71">
        <f t="shared" si="15"/>
        <v>105166.180356324</v>
      </c>
      <c r="K95" s="71">
        <f t="shared" si="16"/>
        <v>3610705.52556711</v>
      </c>
      <c r="L95" s="2"/>
      <c r="M95" s="72"/>
      <c r="N95" s="2"/>
      <c r="O95" s="2"/>
    </row>
    <row r="96" spans="1:15">
      <c r="A96" s="44">
        <f t="shared" si="0"/>
        <v>48</v>
      </c>
      <c r="B96" s="44">
        <f t="shared" si="1"/>
        <v>72</v>
      </c>
      <c r="C96" s="45">
        <f t="shared" si="11"/>
        <v>0.03</v>
      </c>
      <c r="D96" s="47">
        <f t="shared" si="17"/>
        <v>200594.751420395</v>
      </c>
      <c r="E96" s="47">
        <f t="shared" si="12"/>
        <v>0</v>
      </c>
      <c r="F96" s="47" t="str">
        <f t="shared" si="9"/>
        <v/>
      </c>
      <c r="G96" s="47">
        <f t="shared" si="13"/>
        <v>0</v>
      </c>
      <c r="H96" s="47">
        <f t="shared" si="10"/>
        <v>0</v>
      </c>
      <c r="I96" s="47">
        <f t="shared" si="14"/>
        <v>200594.751420395</v>
      </c>
      <c r="J96" s="71">
        <f t="shared" si="15"/>
        <v>102303.323224402</v>
      </c>
      <c r="K96" s="71">
        <f t="shared" si="16"/>
        <v>3512414.09737112</v>
      </c>
      <c r="L96" s="2"/>
      <c r="M96" s="72"/>
      <c r="N96" s="2"/>
      <c r="O96" s="2"/>
    </row>
    <row r="97" spans="1:15">
      <c r="A97" s="44">
        <f t="shared" si="0"/>
        <v>49</v>
      </c>
      <c r="B97" s="44">
        <f t="shared" si="1"/>
        <v>73</v>
      </c>
      <c r="C97" s="45">
        <f t="shared" si="11"/>
        <v>0.03</v>
      </c>
      <c r="D97" s="47">
        <f t="shared" si="17"/>
        <v>206612.593963007</v>
      </c>
      <c r="E97" s="47">
        <f t="shared" si="12"/>
        <v>0</v>
      </c>
      <c r="F97" s="47" t="str">
        <f t="shared" si="9"/>
        <v/>
      </c>
      <c r="G97" s="47">
        <f t="shared" si="13"/>
        <v>0</v>
      </c>
      <c r="H97" s="47">
        <f t="shared" si="10"/>
        <v>0</v>
      </c>
      <c r="I97" s="47">
        <f t="shared" si="14"/>
        <v>206612.593963007</v>
      </c>
      <c r="J97" s="71">
        <f t="shared" si="15"/>
        <v>99174.0451022433</v>
      </c>
      <c r="K97" s="71">
        <f t="shared" si="16"/>
        <v>3404975.54851036</v>
      </c>
      <c r="L97" s="2"/>
      <c r="M97" s="72"/>
      <c r="N97" s="2"/>
      <c r="O97" s="2"/>
    </row>
    <row r="98" spans="1:15">
      <c r="A98" s="44">
        <f t="shared" si="0"/>
        <v>50</v>
      </c>
      <c r="B98" s="44">
        <f t="shared" si="1"/>
        <v>74</v>
      </c>
      <c r="C98" s="45">
        <f t="shared" si="11"/>
        <v>0.03</v>
      </c>
      <c r="D98" s="47">
        <f t="shared" si="17"/>
        <v>212810.971781897</v>
      </c>
      <c r="E98" s="47">
        <f t="shared" si="12"/>
        <v>0</v>
      </c>
      <c r="F98" s="47" t="str">
        <f t="shared" si="9"/>
        <v/>
      </c>
      <c r="G98" s="47">
        <f t="shared" si="13"/>
        <v>0</v>
      </c>
      <c r="H98" s="47">
        <f t="shared" si="10"/>
        <v>0</v>
      </c>
      <c r="I98" s="47">
        <f t="shared" si="14"/>
        <v>212810.971781897</v>
      </c>
      <c r="J98" s="71">
        <f t="shared" si="15"/>
        <v>95764.9373018537</v>
      </c>
      <c r="K98" s="71">
        <f t="shared" si="16"/>
        <v>3287929.51403031</v>
      </c>
      <c r="L98" s="2"/>
      <c r="M98" s="72"/>
      <c r="N98" s="2"/>
      <c r="O98" s="2"/>
    </row>
    <row r="99" spans="1:15">
      <c r="A99" s="44">
        <f t="shared" si="0"/>
        <v>51</v>
      </c>
      <c r="B99" s="44">
        <f t="shared" si="1"/>
        <v>75</v>
      </c>
      <c r="C99" s="45">
        <f t="shared" si="11"/>
        <v>0.03</v>
      </c>
      <c r="D99" s="47">
        <f t="shared" si="17"/>
        <v>219195.300935354</v>
      </c>
      <c r="E99" s="47">
        <f t="shared" si="12"/>
        <v>0</v>
      </c>
      <c r="F99" s="47" t="str">
        <f t="shared" si="9"/>
        <v/>
      </c>
      <c r="G99" s="47">
        <f t="shared" si="13"/>
        <v>0</v>
      </c>
      <c r="H99" s="47">
        <f t="shared" si="10"/>
        <v>0</v>
      </c>
      <c r="I99" s="47">
        <f t="shared" si="14"/>
        <v>219195.300935354</v>
      </c>
      <c r="J99" s="71">
        <f t="shared" si="15"/>
        <v>92062.0263928487</v>
      </c>
      <c r="K99" s="71">
        <f t="shared" si="16"/>
        <v>3160796.23948781</v>
      </c>
      <c r="L99" s="2"/>
      <c r="M99" s="72"/>
      <c r="N99" s="2"/>
      <c r="O99" s="2"/>
    </row>
    <row r="100" spans="1:15">
      <c r="A100" s="44">
        <f t="shared" si="0"/>
        <v>52</v>
      </c>
      <c r="B100" s="44">
        <f t="shared" si="1"/>
        <v>76</v>
      </c>
      <c r="C100" s="45">
        <f t="shared" si="11"/>
        <v>0.03</v>
      </c>
      <c r="D100" s="47">
        <f t="shared" si="17"/>
        <v>225771.159963415</v>
      </c>
      <c r="E100" s="47">
        <f t="shared" si="12"/>
        <v>0</v>
      </c>
      <c r="F100" s="47" t="str">
        <f t="shared" si="9"/>
        <v/>
      </c>
      <c r="G100" s="47">
        <f t="shared" si="13"/>
        <v>0</v>
      </c>
      <c r="H100" s="47">
        <f t="shared" si="10"/>
        <v>0</v>
      </c>
      <c r="I100" s="47">
        <f t="shared" si="14"/>
        <v>225771.159963415</v>
      </c>
      <c r="J100" s="71">
        <f t="shared" si="15"/>
        <v>88050.7523857318</v>
      </c>
      <c r="K100" s="71">
        <f t="shared" si="16"/>
        <v>3023075.83191012</v>
      </c>
      <c r="L100" s="2"/>
      <c r="M100" s="72"/>
      <c r="N100" s="2"/>
      <c r="O100" s="2"/>
    </row>
    <row r="101" spans="1:15">
      <c r="A101" s="44">
        <f t="shared" si="0"/>
        <v>53</v>
      </c>
      <c r="B101" s="44">
        <f t="shared" si="1"/>
        <v>77</v>
      </c>
      <c r="C101" s="45">
        <f t="shared" si="11"/>
        <v>0.03</v>
      </c>
      <c r="D101" s="47">
        <f t="shared" si="17"/>
        <v>232544.294762317</v>
      </c>
      <c r="E101" s="47">
        <f t="shared" si="12"/>
        <v>0</v>
      </c>
      <c r="F101" s="47" t="str">
        <f t="shared" si="9"/>
        <v/>
      </c>
      <c r="G101" s="47">
        <f t="shared" si="13"/>
        <v>0</v>
      </c>
      <c r="H101" s="47">
        <f t="shared" si="10"/>
        <v>0</v>
      </c>
      <c r="I101" s="47">
        <f t="shared" si="14"/>
        <v>232544.294762317</v>
      </c>
      <c r="J101" s="71">
        <f t="shared" si="15"/>
        <v>83715.9461144344</v>
      </c>
      <c r="K101" s="71">
        <f t="shared" si="16"/>
        <v>2874247.48326224</v>
      </c>
      <c r="L101" s="2"/>
      <c r="M101" s="72"/>
      <c r="N101" s="2"/>
      <c r="O101" s="2"/>
    </row>
    <row r="102" spans="1:15">
      <c r="A102" s="44">
        <f t="shared" si="0"/>
        <v>54</v>
      </c>
      <c r="B102" s="44">
        <f t="shared" si="1"/>
        <v>78</v>
      </c>
      <c r="C102" s="45">
        <f t="shared" si="11"/>
        <v>0.03</v>
      </c>
      <c r="D102" s="47">
        <f t="shared" si="17"/>
        <v>239520.623605187</v>
      </c>
      <c r="E102" s="47">
        <f t="shared" si="12"/>
        <v>0</v>
      </c>
      <c r="F102" s="47" t="str">
        <f t="shared" si="9"/>
        <v/>
      </c>
      <c r="G102" s="47">
        <f t="shared" si="13"/>
        <v>0</v>
      </c>
      <c r="H102" s="47">
        <f t="shared" si="10"/>
        <v>0</v>
      </c>
      <c r="I102" s="47">
        <f t="shared" si="14"/>
        <v>239520.623605187</v>
      </c>
      <c r="J102" s="71">
        <f t="shared" si="15"/>
        <v>79041.8057897119</v>
      </c>
      <c r="K102" s="71">
        <f t="shared" si="16"/>
        <v>2713768.66544676</v>
      </c>
      <c r="L102" s="2"/>
      <c r="M102" s="72"/>
      <c r="N102" s="2"/>
      <c r="O102" s="2"/>
    </row>
    <row r="103" spans="1:15">
      <c r="A103" s="44">
        <f t="shared" ref="A103:A121" si="18">IF(A102&lt;($E$10-$E$9)+$E$11,A102+1,NA())</f>
        <v>55</v>
      </c>
      <c r="B103" s="44">
        <f t="shared" ref="B103:B123" si="19">IF(ISERROR(A103),NA(),$E$9+A103-1)</f>
        <v>79</v>
      </c>
      <c r="C103" s="45">
        <f t="shared" si="11"/>
        <v>0.03</v>
      </c>
      <c r="D103" s="47">
        <f t="shared" si="17"/>
        <v>246706.242313343</v>
      </c>
      <c r="E103" s="47">
        <f t="shared" si="12"/>
        <v>0</v>
      </c>
      <c r="F103" s="47" t="str">
        <f t="shared" si="9"/>
        <v/>
      </c>
      <c r="G103" s="47">
        <f t="shared" si="13"/>
        <v>0</v>
      </c>
      <c r="H103" s="47">
        <f t="shared" si="10"/>
        <v>0</v>
      </c>
      <c r="I103" s="47">
        <f t="shared" si="14"/>
        <v>246706.242313343</v>
      </c>
      <c r="J103" s="71">
        <f t="shared" si="15"/>
        <v>74011.8726940029</v>
      </c>
      <c r="K103" s="71">
        <f t="shared" si="16"/>
        <v>2541074.29582743</v>
      </c>
      <c r="L103" s="2"/>
      <c r="M103" s="72"/>
      <c r="N103" s="2"/>
      <c r="O103" s="2"/>
    </row>
    <row r="104" spans="1:15">
      <c r="A104" s="44">
        <f t="shared" si="18"/>
        <v>56</v>
      </c>
      <c r="B104" s="44">
        <f t="shared" si="19"/>
        <v>80</v>
      </c>
      <c r="C104" s="45">
        <f t="shared" si="11"/>
        <v>0.03</v>
      </c>
      <c r="D104" s="47">
        <f t="shared" si="17"/>
        <v>254107.429582743</v>
      </c>
      <c r="E104" s="47">
        <f t="shared" si="12"/>
        <v>0</v>
      </c>
      <c r="F104" s="47" t="str">
        <f t="shared" si="9"/>
        <v/>
      </c>
      <c r="G104" s="47">
        <f t="shared" si="13"/>
        <v>0</v>
      </c>
      <c r="H104" s="47">
        <f t="shared" si="10"/>
        <v>0</v>
      </c>
      <c r="I104" s="47">
        <f t="shared" si="14"/>
        <v>254107.429582743</v>
      </c>
      <c r="J104" s="71">
        <f t="shared" si="15"/>
        <v>68609.0059873406</v>
      </c>
      <c r="K104" s="71">
        <f t="shared" si="16"/>
        <v>2355575.87223202</v>
      </c>
      <c r="L104" s="2"/>
      <c r="M104" s="72"/>
      <c r="N104" s="2"/>
      <c r="O104" s="2"/>
    </row>
    <row r="105" spans="1:15">
      <c r="A105" s="44">
        <f t="shared" si="18"/>
        <v>57</v>
      </c>
      <c r="B105" s="44">
        <f t="shared" si="19"/>
        <v>81</v>
      </c>
      <c r="C105" s="45">
        <f t="shared" si="11"/>
        <v>0.03</v>
      </c>
      <c r="D105" s="47">
        <f t="shared" si="17"/>
        <v>261730.652470225</v>
      </c>
      <c r="E105" s="47">
        <f t="shared" si="12"/>
        <v>0</v>
      </c>
      <c r="F105" s="47" t="str">
        <f t="shared" si="9"/>
        <v/>
      </c>
      <c r="G105" s="47">
        <f t="shared" si="13"/>
        <v>0</v>
      </c>
      <c r="H105" s="47">
        <f t="shared" si="10"/>
        <v>0</v>
      </c>
      <c r="I105" s="47">
        <f t="shared" si="14"/>
        <v>261730.652470225</v>
      </c>
      <c r="J105" s="71">
        <f t="shared" si="15"/>
        <v>62815.356592854</v>
      </c>
      <c r="K105" s="71">
        <f t="shared" si="16"/>
        <v>2156660.57635465</v>
      </c>
      <c r="L105" s="2"/>
      <c r="M105" s="72"/>
      <c r="N105" s="2"/>
      <c r="O105" s="2"/>
    </row>
    <row r="106" spans="1:15">
      <c r="A106" s="44">
        <f t="shared" si="18"/>
        <v>58</v>
      </c>
      <c r="B106" s="44">
        <f t="shared" si="19"/>
        <v>82</v>
      </c>
      <c r="C106" s="45">
        <f t="shared" si="11"/>
        <v>0.03</v>
      </c>
      <c r="D106" s="47">
        <f t="shared" si="17"/>
        <v>269582.572044332</v>
      </c>
      <c r="E106" s="47">
        <f t="shared" si="12"/>
        <v>0</v>
      </c>
      <c r="F106" s="47" t="str">
        <f t="shared" si="9"/>
        <v/>
      </c>
      <c r="G106" s="47">
        <f t="shared" si="13"/>
        <v>0</v>
      </c>
      <c r="H106" s="47">
        <f t="shared" si="10"/>
        <v>0</v>
      </c>
      <c r="I106" s="47">
        <f t="shared" si="14"/>
        <v>269582.572044332</v>
      </c>
      <c r="J106" s="71">
        <f t="shared" si="15"/>
        <v>56612.3401293096</v>
      </c>
      <c r="K106" s="71">
        <f t="shared" si="16"/>
        <v>1943690.34443963</v>
      </c>
      <c r="L106" s="2"/>
      <c r="M106" s="72"/>
      <c r="N106" s="2"/>
      <c r="O106" s="2"/>
    </row>
    <row r="107" spans="1:15">
      <c r="A107" s="44">
        <f t="shared" si="18"/>
        <v>59</v>
      </c>
      <c r="B107" s="44">
        <f t="shared" si="19"/>
        <v>83</v>
      </c>
      <c r="C107" s="45">
        <f t="shared" si="11"/>
        <v>0.03</v>
      </c>
      <c r="D107" s="47">
        <f t="shared" si="17"/>
        <v>277670.049205662</v>
      </c>
      <c r="E107" s="47">
        <f t="shared" si="12"/>
        <v>0</v>
      </c>
      <c r="F107" s="47" t="str">
        <f t="shared" si="9"/>
        <v/>
      </c>
      <c r="G107" s="47">
        <f t="shared" si="13"/>
        <v>0</v>
      </c>
      <c r="H107" s="47">
        <f t="shared" si="10"/>
        <v>0</v>
      </c>
      <c r="I107" s="47">
        <f t="shared" si="14"/>
        <v>277670.049205662</v>
      </c>
      <c r="J107" s="71">
        <f t="shared" si="15"/>
        <v>49980.6088570191</v>
      </c>
      <c r="K107" s="71">
        <f t="shared" si="16"/>
        <v>1716000.90409099</v>
      </c>
      <c r="L107" s="2"/>
      <c r="M107" s="72"/>
      <c r="N107" s="2"/>
      <c r="O107" s="2"/>
    </row>
    <row r="108" spans="1:15">
      <c r="A108" s="44">
        <f t="shared" si="18"/>
        <v>60</v>
      </c>
      <c r="B108" s="44">
        <f t="shared" si="19"/>
        <v>84</v>
      </c>
      <c r="C108" s="45">
        <f t="shared" si="11"/>
        <v>0.03</v>
      </c>
      <c r="D108" s="47">
        <f t="shared" si="17"/>
        <v>286000.150681832</v>
      </c>
      <c r="E108" s="47">
        <f t="shared" si="12"/>
        <v>0</v>
      </c>
      <c r="F108" s="47" t="str">
        <f t="shared" si="9"/>
        <v/>
      </c>
      <c r="G108" s="47">
        <f t="shared" si="13"/>
        <v>0</v>
      </c>
      <c r="H108" s="47">
        <f t="shared" si="10"/>
        <v>0</v>
      </c>
      <c r="I108" s="47">
        <f t="shared" si="14"/>
        <v>286000.150681832</v>
      </c>
      <c r="J108" s="71">
        <f t="shared" si="15"/>
        <v>42900.0226022748</v>
      </c>
      <c r="K108" s="71">
        <f t="shared" si="16"/>
        <v>1472900.77601143</v>
      </c>
      <c r="L108" s="2"/>
      <c r="M108" s="72"/>
      <c r="N108" s="2"/>
      <c r="O108" s="2"/>
    </row>
    <row r="109" spans="1:15">
      <c r="A109" s="44">
        <f t="shared" si="18"/>
        <v>61</v>
      </c>
      <c r="B109" s="44">
        <f t="shared" si="19"/>
        <v>85</v>
      </c>
      <c r="C109" s="45">
        <f t="shared" si="11"/>
        <v>0.03</v>
      </c>
      <c r="D109" s="47">
        <f t="shared" si="17"/>
        <v>294580.155202287</v>
      </c>
      <c r="E109" s="47">
        <f t="shared" si="12"/>
        <v>0</v>
      </c>
      <c r="F109" s="47" t="str">
        <f t="shared" si="9"/>
        <v/>
      </c>
      <c r="G109" s="47">
        <f t="shared" si="13"/>
        <v>0</v>
      </c>
      <c r="H109" s="47">
        <f t="shared" si="10"/>
        <v>0</v>
      </c>
      <c r="I109" s="47">
        <f t="shared" si="14"/>
        <v>294580.155202287</v>
      </c>
      <c r="J109" s="71">
        <f t="shared" si="15"/>
        <v>35349.6186242744</v>
      </c>
      <c r="K109" s="71">
        <f t="shared" si="16"/>
        <v>1213670.23943342</v>
      </c>
      <c r="L109" s="2"/>
      <c r="M109" s="72"/>
      <c r="N109" s="2"/>
      <c r="O109" s="2"/>
    </row>
    <row r="110" spans="1:15">
      <c r="A110" s="44">
        <f t="shared" si="18"/>
        <v>62</v>
      </c>
      <c r="B110" s="44">
        <f t="shared" si="19"/>
        <v>86</v>
      </c>
      <c r="C110" s="45">
        <f t="shared" si="11"/>
        <v>0.03</v>
      </c>
      <c r="D110" s="47">
        <f t="shared" si="17"/>
        <v>303417.559858355</v>
      </c>
      <c r="E110" s="47">
        <f t="shared" si="12"/>
        <v>0</v>
      </c>
      <c r="F110" s="47" t="str">
        <f t="shared" si="9"/>
        <v/>
      </c>
      <c r="G110" s="47">
        <f t="shared" si="13"/>
        <v>0</v>
      </c>
      <c r="H110" s="47">
        <f t="shared" si="10"/>
        <v>0</v>
      </c>
      <c r="I110" s="47">
        <f t="shared" si="14"/>
        <v>303417.559858355</v>
      </c>
      <c r="J110" s="71">
        <f t="shared" si="15"/>
        <v>27307.5803872519</v>
      </c>
      <c r="K110" s="71">
        <f t="shared" si="16"/>
        <v>937560.259962314</v>
      </c>
      <c r="L110" s="2"/>
      <c r="M110" s="72"/>
      <c r="N110" s="2"/>
      <c r="O110" s="2"/>
    </row>
    <row r="111" spans="1:15">
      <c r="A111" s="44">
        <f t="shared" si="18"/>
        <v>63</v>
      </c>
      <c r="B111" s="44">
        <f t="shared" si="19"/>
        <v>87</v>
      </c>
      <c r="C111" s="45">
        <f t="shared" si="11"/>
        <v>0.03</v>
      </c>
      <c r="D111" s="47">
        <f t="shared" si="17"/>
        <v>312520.086654106</v>
      </c>
      <c r="E111" s="47">
        <f t="shared" si="12"/>
        <v>0</v>
      </c>
      <c r="F111" s="47" t="str">
        <f t="shared" si="9"/>
        <v/>
      </c>
      <c r="G111" s="47">
        <f t="shared" si="13"/>
        <v>0</v>
      </c>
      <c r="H111" s="47">
        <f t="shared" si="10"/>
        <v>0</v>
      </c>
      <c r="I111" s="47">
        <f t="shared" si="14"/>
        <v>312520.086654106</v>
      </c>
      <c r="J111" s="71">
        <f t="shared" si="15"/>
        <v>18751.2051992463</v>
      </c>
      <c r="K111" s="71">
        <f t="shared" si="16"/>
        <v>643791.378507455</v>
      </c>
      <c r="L111" s="2"/>
      <c r="M111" s="72"/>
      <c r="N111" s="2"/>
      <c r="O111" s="2"/>
    </row>
    <row r="112" spans="1:15">
      <c r="A112" s="44">
        <f t="shared" si="18"/>
        <v>64</v>
      </c>
      <c r="B112" s="44">
        <f t="shared" si="19"/>
        <v>88</v>
      </c>
      <c r="C112" s="45">
        <f t="shared" si="11"/>
        <v>0.03</v>
      </c>
      <c r="D112" s="47">
        <f t="shared" si="17"/>
        <v>321895.689253729</v>
      </c>
      <c r="E112" s="47">
        <f t="shared" si="12"/>
        <v>0</v>
      </c>
      <c r="F112" s="47" t="str">
        <f t="shared" si="9"/>
        <v/>
      </c>
      <c r="G112" s="47">
        <f t="shared" si="13"/>
        <v>0</v>
      </c>
      <c r="H112" s="47">
        <f t="shared" si="10"/>
        <v>0</v>
      </c>
      <c r="I112" s="47">
        <f t="shared" si="14"/>
        <v>321895.689253729</v>
      </c>
      <c r="J112" s="71">
        <f t="shared" si="15"/>
        <v>9656.87067761179</v>
      </c>
      <c r="K112" s="71">
        <f t="shared" si="16"/>
        <v>331552.559931338</v>
      </c>
      <c r="L112" s="2"/>
      <c r="M112" s="72"/>
      <c r="N112" s="2"/>
      <c r="O112" s="2"/>
    </row>
    <row r="113" spans="1:15">
      <c r="A113" s="44">
        <f t="shared" si="18"/>
        <v>65</v>
      </c>
      <c r="B113" s="44">
        <f t="shared" si="19"/>
        <v>89</v>
      </c>
      <c r="C113" s="45">
        <f t="shared" ref="C113:C123" si="20">IF(ISERROR(A113),NA(),IF(B113&lt;$E$10,$E$15,$E$16))</f>
        <v>0.03</v>
      </c>
      <c r="D113" s="47">
        <f t="shared" si="17"/>
        <v>331552.559931341</v>
      </c>
      <c r="E113" s="47">
        <f t="shared" ref="E113:E123" si="21">IF(ISERROR(A113),NA(),IF(B113=$E$10-1,$K$26,0)+IF(A113&lt;=$E$12,$K$31*D113,0))</f>
        <v>0</v>
      </c>
      <c r="F113" s="47" t="str">
        <f t="shared" si="9"/>
        <v/>
      </c>
      <c r="G113" s="47">
        <f t="shared" ref="G113:G123" si="22">IF(ISERROR(A113),NA(),IF(A113&lt;=$E$12,MIN($E$25*E113,$E$26*$E$25*D113),0))</f>
        <v>0</v>
      </c>
      <c r="H113" s="47">
        <f t="shared" si="10"/>
        <v>0</v>
      </c>
      <c r="I113" s="47">
        <f t="shared" ref="I113:I123" si="23">IF(ISERROR(A113),NA(),IF(B113&gt;=$E$10,D113-H113,0))</f>
        <v>331552.559931341</v>
      </c>
      <c r="J113" s="71">
        <f t="shared" ref="J113:J123" si="24">IF(ISERROR(A113),NA(),FV(C113/$E$43,$E$43,-(E113+G113)/$E$43,-(K112-I113*$E$44),0)-(K112+E113+G113-I113*$E$44))</f>
        <v>-9.25501808524134e-11</v>
      </c>
      <c r="K113" s="71">
        <f t="shared" ref="K113:K123" si="25">IF(ISERROR(A113),NA(),K112+E113+G113+J113-I113)</f>
        <v>-3.20142135024071e-9</v>
      </c>
      <c r="L113" s="2"/>
      <c r="M113" s="72"/>
      <c r="N113" s="2"/>
      <c r="O113" s="2"/>
    </row>
    <row r="114" spans="1:15">
      <c r="A114" s="44" t="e">
        <f t="shared" si="18"/>
        <v>#N/A</v>
      </c>
      <c r="B114" s="44" t="e">
        <f t="shared" si="19"/>
        <v>#N/A</v>
      </c>
      <c r="C114" s="45" t="e">
        <f t="shared" si="20"/>
        <v>#N/A</v>
      </c>
      <c r="D114" s="47" t="e">
        <f t="shared" ref="D114:D123" si="26">IF(ISERROR(A114),NA(),IF(B114&gt;=$E$10,$K$10*(1+$E$17)^(B114-$E$10),(1+$E$21)*D113))</f>
        <v>#N/A</v>
      </c>
      <c r="E114" s="47" t="e">
        <f t="shared" si="21"/>
        <v>#N/A</v>
      </c>
      <c r="F114" s="47" t="e">
        <f t="shared" ref="F114:F123" si="27">IF(ISERROR(A114),NA(),"")</f>
        <v>#N/A</v>
      </c>
      <c r="G114" s="47" t="e">
        <f t="shared" si="22"/>
        <v>#N/A</v>
      </c>
      <c r="H114" s="47" t="e">
        <f t="shared" ref="H114:H123" si="28">IF(ISERROR(A114),NA(),IF(ISERROR(B114),0,IF(AND(B114&gt;=$K$19,B114&lt;($K$19+$K$22)),$K$20*(1+$K$21)^(B114-$K$19),0)))</f>
        <v>#N/A</v>
      </c>
      <c r="I114" s="47" t="e">
        <f t="shared" si="23"/>
        <v>#N/A</v>
      </c>
      <c r="J114" s="71" t="e">
        <f t="shared" si="24"/>
        <v>#N/A</v>
      </c>
      <c r="K114" s="71" t="e">
        <f t="shared" si="25"/>
        <v>#N/A</v>
      </c>
      <c r="L114" s="2"/>
      <c r="M114" s="72"/>
      <c r="N114" s="2"/>
      <c r="O114" s="2"/>
    </row>
    <row r="115" spans="1:15">
      <c r="A115" s="44" t="e">
        <f t="shared" si="18"/>
        <v>#N/A</v>
      </c>
      <c r="B115" s="44" t="e">
        <f t="shared" si="19"/>
        <v>#N/A</v>
      </c>
      <c r="C115" s="45" t="e">
        <f t="shared" si="20"/>
        <v>#N/A</v>
      </c>
      <c r="D115" s="47" t="e">
        <f t="shared" si="26"/>
        <v>#N/A</v>
      </c>
      <c r="E115" s="47" t="e">
        <f t="shared" si="21"/>
        <v>#N/A</v>
      </c>
      <c r="F115" s="47" t="e">
        <f t="shared" si="27"/>
        <v>#N/A</v>
      </c>
      <c r="G115" s="47" t="e">
        <f t="shared" si="22"/>
        <v>#N/A</v>
      </c>
      <c r="H115" s="47" t="e">
        <f t="shared" si="28"/>
        <v>#N/A</v>
      </c>
      <c r="I115" s="47" t="e">
        <f t="shared" si="23"/>
        <v>#N/A</v>
      </c>
      <c r="J115" s="71" t="e">
        <f t="shared" si="24"/>
        <v>#N/A</v>
      </c>
      <c r="K115" s="71" t="e">
        <f t="shared" si="25"/>
        <v>#N/A</v>
      </c>
      <c r="L115" s="2"/>
      <c r="M115" s="72"/>
      <c r="N115" s="2"/>
      <c r="O115" s="2"/>
    </row>
    <row r="116" spans="1:15">
      <c r="A116" s="44" t="e">
        <f t="shared" si="18"/>
        <v>#N/A</v>
      </c>
      <c r="B116" s="44" t="e">
        <f t="shared" si="19"/>
        <v>#N/A</v>
      </c>
      <c r="C116" s="45" t="e">
        <f t="shared" si="20"/>
        <v>#N/A</v>
      </c>
      <c r="D116" s="47" t="e">
        <f t="shared" si="26"/>
        <v>#N/A</v>
      </c>
      <c r="E116" s="47" t="e">
        <f t="shared" si="21"/>
        <v>#N/A</v>
      </c>
      <c r="F116" s="47" t="e">
        <f t="shared" si="27"/>
        <v>#N/A</v>
      </c>
      <c r="G116" s="47" t="e">
        <f t="shared" si="22"/>
        <v>#N/A</v>
      </c>
      <c r="H116" s="47" t="e">
        <f t="shared" si="28"/>
        <v>#N/A</v>
      </c>
      <c r="I116" s="47" t="e">
        <f t="shared" si="23"/>
        <v>#N/A</v>
      </c>
      <c r="J116" s="71" t="e">
        <f t="shared" si="24"/>
        <v>#N/A</v>
      </c>
      <c r="K116" s="71" t="e">
        <f t="shared" si="25"/>
        <v>#N/A</v>
      </c>
      <c r="L116" s="2"/>
      <c r="M116" s="2"/>
      <c r="N116" s="2"/>
      <c r="O116" s="2"/>
    </row>
    <row r="117" spans="1:15">
      <c r="A117" s="44" t="e">
        <f t="shared" si="18"/>
        <v>#N/A</v>
      </c>
      <c r="B117" s="44" t="e">
        <f t="shared" si="19"/>
        <v>#N/A</v>
      </c>
      <c r="C117" s="45" t="e">
        <f t="shared" si="20"/>
        <v>#N/A</v>
      </c>
      <c r="D117" s="47" t="e">
        <f t="shared" si="26"/>
        <v>#N/A</v>
      </c>
      <c r="E117" s="47" t="e">
        <f t="shared" si="21"/>
        <v>#N/A</v>
      </c>
      <c r="F117" s="47" t="e">
        <f t="shared" si="27"/>
        <v>#N/A</v>
      </c>
      <c r="G117" s="47" t="e">
        <f t="shared" si="22"/>
        <v>#N/A</v>
      </c>
      <c r="H117" s="47" t="e">
        <f t="shared" si="28"/>
        <v>#N/A</v>
      </c>
      <c r="I117" s="47" t="e">
        <f t="shared" si="23"/>
        <v>#N/A</v>
      </c>
      <c r="J117" s="71" t="e">
        <f t="shared" si="24"/>
        <v>#N/A</v>
      </c>
      <c r="K117" s="71" t="e">
        <f t="shared" si="25"/>
        <v>#N/A</v>
      </c>
      <c r="L117" s="2"/>
      <c r="M117" s="2"/>
      <c r="N117" s="2"/>
      <c r="O117" s="2"/>
    </row>
    <row r="118" spans="1:15">
      <c r="A118" s="44" t="e">
        <f t="shared" si="18"/>
        <v>#N/A</v>
      </c>
      <c r="B118" s="44" t="e">
        <f t="shared" si="19"/>
        <v>#N/A</v>
      </c>
      <c r="C118" s="45" t="e">
        <f t="shared" si="20"/>
        <v>#N/A</v>
      </c>
      <c r="D118" s="47" t="e">
        <f t="shared" si="26"/>
        <v>#N/A</v>
      </c>
      <c r="E118" s="47" t="e">
        <f t="shared" si="21"/>
        <v>#N/A</v>
      </c>
      <c r="F118" s="47" t="e">
        <f t="shared" si="27"/>
        <v>#N/A</v>
      </c>
      <c r="G118" s="47" t="e">
        <f t="shared" si="22"/>
        <v>#N/A</v>
      </c>
      <c r="H118" s="47" t="e">
        <f t="shared" si="28"/>
        <v>#N/A</v>
      </c>
      <c r="I118" s="47" t="e">
        <f t="shared" si="23"/>
        <v>#N/A</v>
      </c>
      <c r="J118" s="71" t="e">
        <f t="shared" si="24"/>
        <v>#N/A</v>
      </c>
      <c r="K118" s="71" t="e">
        <f t="shared" si="25"/>
        <v>#N/A</v>
      </c>
      <c r="L118" s="2"/>
      <c r="M118" s="2"/>
      <c r="N118" s="2"/>
      <c r="O118" s="2"/>
    </row>
    <row r="119" spans="1:15">
      <c r="A119" s="44" t="e">
        <f t="shared" si="18"/>
        <v>#N/A</v>
      </c>
      <c r="B119" s="44" t="e">
        <f t="shared" si="19"/>
        <v>#N/A</v>
      </c>
      <c r="C119" s="45" t="e">
        <f t="shared" si="20"/>
        <v>#N/A</v>
      </c>
      <c r="D119" s="47" t="e">
        <f t="shared" si="26"/>
        <v>#N/A</v>
      </c>
      <c r="E119" s="47" t="e">
        <f t="shared" si="21"/>
        <v>#N/A</v>
      </c>
      <c r="F119" s="47" t="e">
        <f t="shared" si="27"/>
        <v>#N/A</v>
      </c>
      <c r="G119" s="47" t="e">
        <f t="shared" si="22"/>
        <v>#N/A</v>
      </c>
      <c r="H119" s="47" t="e">
        <f t="shared" si="28"/>
        <v>#N/A</v>
      </c>
      <c r="I119" s="47" t="e">
        <f t="shared" si="23"/>
        <v>#N/A</v>
      </c>
      <c r="J119" s="71" t="e">
        <f t="shared" si="24"/>
        <v>#N/A</v>
      </c>
      <c r="K119" s="71" t="e">
        <f t="shared" si="25"/>
        <v>#N/A</v>
      </c>
      <c r="L119" s="2"/>
      <c r="M119" s="2"/>
      <c r="N119" s="2"/>
      <c r="O119" s="2"/>
    </row>
    <row r="120" spans="1:15">
      <c r="A120" s="44" t="e">
        <f t="shared" si="18"/>
        <v>#N/A</v>
      </c>
      <c r="B120" s="44" t="e">
        <f t="shared" si="19"/>
        <v>#N/A</v>
      </c>
      <c r="C120" s="45" t="e">
        <f t="shared" si="20"/>
        <v>#N/A</v>
      </c>
      <c r="D120" s="47" t="e">
        <f t="shared" si="26"/>
        <v>#N/A</v>
      </c>
      <c r="E120" s="47" t="e">
        <f t="shared" si="21"/>
        <v>#N/A</v>
      </c>
      <c r="F120" s="47" t="e">
        <f t="shared" si="27"/>
        <v>#N/A</v>
      </c>
      <c r="G120" s="47" t="e">
        <f t="shared" si="22"/>
        <v>#N/A</v>
      </c>
      <c r="H120" s="47" t="e">
        <f t="shared" si="28"/>
        <v>#N/A</v>
      </c>
      <c r="I120" s="47" t="e">
        <f t="shared" si="23"/>
        <v>#N/A</v>
      </c>
      <c r="J120" s="71" t="e">
        <f t="shared" si="24"/>
        <v>#N/A</v>
      </c>
      <c r="K120" s="71" t="e">
        <f t="shared" si="25"/>
        <v>#N/A</v>
      </c>
      <c r="L120" s="2"/>
      <c r="M120" s="2"/>
      <c r="N120" s="2"/>
      <c r="O120" s="2"/>
    </row>
    <row r="121" spans="1:15">
      <c r="A121" s="44" t="e">
        <f t="shared" si="18"/>
        <v>#N/A</v>
      </c>
      <c r="B121" s="44" t="e">
        <f t="shared" si="19"/>
        <v>#N/A</v>
      </c>
      <c r="C121" s="45" t="e">
        <f t="shared" si="20"/>
        <v>#N/A</v>
      </c>
      <c r="D121" s="47" t="e">
        <f t="shared" si="26"/>
        <v>#N/A</v>
      </c>
      <c r="E121" s="47" t="e">
        <f t="shared" si="21"/>
        <v>#N/A</v>
      </c>
      <c r="F121" s="47" t="e">
        <f t="shared" si="27"/>
        <v>#N/A</v>
      </c>
      <c r="G121" s="47" t="e">
        <f t="shared" si="22"/>
        <v>#N/A</v>
      </c>
      <c r="H121" s="47" t="e">
        <f t="shared" si="28"/>
        <v>#N/A</v>
      </c>
      <c r="I121" s="47" t="e">
        <f t="shared" si="23"/>
        <v>#N/A</v>
      </c>
      <c r="J121" s="71" t="e">
        <f t="shared" si="24"/>
        <v>#N/A</v>
      </c>
      <c r="K121" s="71" t="e">
        <f t="shared" si="25"/>
        <v>#N/A</v>
      </c>
      <c r="L121" s="2"/>
      <c r="M121" s="2"/>
      <c r="N121" s="2"/>
      <c r="O121" s="2"/>
    </row>
    <row r="122" spans="1:15">
      <c r="A122" s="44" t="e">
        <f t="shared" ref="A122" si="29">IF(A121&lt;($E$10-$E$9)+$E$11,A121+1,NA())</f>
        <v>#N/A</v>
      </c>
      <c r="B122" s="44" t="e">
        <f t="shared" ref="B122" si="30">IF(ISERROR(A122),NA(),$E$9+A122-1)</f>
        <v>#N/A</v>
      </c>
      <c r="C122" s="45" t="e">
        <f t="shared" si="20"/>
        <v>#N/A</v>
      </c>
      <c r="D122" s="47" t="e">
        <f t="shared" si="26"/>
        <v>#N/A</v>
      </c>
      <c r="E122" s="47" t="e">
        <f t="shared" si="21"/>
        <v>#N/A</v>
      </c>
      <c r="F122" s="47" t="e">
        <f t="shared" si="27"/>
        <v>#N/A</v>
      </c>
      <c r="G122" s="47" t="e">
        <f t="shared" si="22"/>
        <v>#N/A</v>
      </c>
      <c r="H122" s="47" t="e">
        <f t="shared" si="28"/>
        <v>#N/A</v>
      </c>
      <c r="I122" s="47" t="e">
        <f t="shared" si="23"/>
        <v>#N/A</v>
      </c>
      <c r="J122" s="71" t="e">
        <f t="shared" si="24"/>
        <v>#N/A</v>
      </c>
      <c r="K122" s="71" t="e">
        <f t="shared" si="25"/>
        <v>#N/A</v>
      </c>
      <c r="L122" s="2"/>
      <c r="M122" s="2"/>
      <c r="N122" s="2"/>
      <c r="O122" s="2"/>
    </row>
    <row r="123" spans="1:15">
      <c r="A123" s="44" t="e">
        <f>IF(A121&lt;($E$10-$E$9)+$E$11,A121+1,NA())</f>
        <v>#N/A</v>
      </c>
      <c r="B123" s="44" t="e">
        <f t="shared" si="19"/>
        <v>#N/A</v>
      </c>
      <c r="C123" s="45" t="e">
        <f t="shared" si="20"/>
        <v>#N/A</v>
      </c>
      <c r="D123" s="47" t="e">
        <f t="shared" si="26"/>
        <v>#N/A</v>
      </c>
      <c r="E123" s="47" t="e">
        <f t="shared" si="21"/>
        <v>#N/A</v>
      </c>
      <c r="F123" s="47" t="e">
        <f t="shared" si="27"/>
        <v>#N/A</v>
      </c>
      <c r="G123" s="47" t="e">
        <f t="shared" si="22"/>
        <v>#N/A</v>
      </c>
      <c r="H123" s="47" t="e">
        <f t="shared" si="28"/>
        <v>#N/A</v>
      </c>
      <c r="I123" s="47" t="e">
        <f t="shared" si="23"/>
        <v>#N/A</v>
      </c>
      <c r="J123" s="71" t="e">
        <f t="shared" si="24"/>
        <v>#N/A</v>
      </c>
      <c r="K123" s="71" t="e">
        <f t="shared" si="25"/>
        <v>#N/A</v>
      </c>
      <c r="L123" s="2"/>
      <c r="M123" s="2"/>
      <c r="N123" s="2"/>
      <c r="O123" s="2"/>
    </row>
    <row r="124" spans="1:1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2"/>
      <c r="M124" s="2"/>
      <c r="N124" s="2"/>
      <c r="O124" s="2"/>
    </row>
    <row r="125" spans="1: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>
      <c r="A127" s="39" t="str">
        <f>"Table Based on "&amp;TEXT(E24,"0.00%")&amp;" Salary Contribution Scenario"</f>
        <v>Table Based on 10.00% Salary Contribution Scenario</v>
      </c>
      <c r="B127" s="2"/>
      <c r="C127" s="2"/>
      <c r="D127" s="2"/>
      <c r="E127" s="2"/>
      <c r="F127" s="2"/>
      <c r="G127" s="2"/>
      <c r="H127" s="2"/>
      <c r="I127" s="2"/>
      <c r="J127" s="67"/>
      <c r="K127" s="68" t="s">
        <v>66</v>
      </c>
      <c r="L127" s="2"/>
      <c r="M127" s="2"/>
      <c r="N127" s="2"/>
      <c r="O127" s="2"/>
    </row>
    <row r="128" ht="26.25" spans="1:15">
      <c r="A128" s="40" t="s">
        <v>67</v>
      </c>
      <c r="B128" s="40" t="s">
        <v>68</v>
      </c>
      <c r="C128" s="40" t="s">
        <v>69</v>
      </c>
      <c r="D128" s="40" t="s">
        <v>70</v>
      </c>
      <c r="E128" s="40" t="s">
        <v>71</v>
      </c>
      <c r="F128" s="40"/>
      <c r="G128" s="40" t="s">
        <v>72</v>
      </c>
      <c r="H128" s="41" t="s">
        <v>73</v>
      </c>
      <c r="I128" s="40" t="s">
        <v>74</v>
      </c>
      <c r="J128" s="40" t="s">
        <v>77</v>
      </c>
      <c r="K128" s="69" t="s">
        <v>76</v>
      </c>
      <c r="L128" s="2"/>
      <c r="M128" s="2"/>
      <c r="N128" s="2"/>
      <c r="O128" s="2"/>
    </row>
    <row r="129" spans="1:15">
      <c r="A129" s="42"/>
      <c r="B129" s="42"/>
      <c r="C129" s="42"/>
      <c r="D129" s="43"/>
      <c r="E129" s="43"/>
      <c r="F129" s="43"/>
      <c r="G129" s="43"/>
      <c r="H129" s="43"/>
      <c r="I129" s="42"/>
      <c r="J129" s="42"/>
      <c r="K129" s="70">
        <f>Retirement!$K$14</f>
        <v>20000</v>
      </c>
      <c r="L129" s="2"/>
      <c r="M129" s="2"/>
      <c r="N129" s="2"/>
      <c r="O129" s="2"/>
    </row>
    <row r="130" spans="1:15">
      <c r="A130" s="44">
        <f>IF(OR(K129&lt;0,A129&gt;=($E$10-$E$9)+$E$11),NA(),A129+1)</f>
        <v>1</v>
      </c>
      <c r="B130" s="44">
        <f>IF(ISERROR(A130),NA(),$E$9+A130-1)</f>
        <v>25</v>
      </c>
      <c r="C130" s="45">
        <f>IF(ISERROR(A130),NA(),IF(B130&lt;$E$10,$E$15,$E$16))</f>
        <v>0.06</v>
      </c>
      <c r="D130" s="46">
        <f>Retirement!E20</f>
        <v>50000</v>
      </c>
      <c r="E130" s="47">
        <f>IF(ISERROR(A130),NA(),IF(B130=$E$10-1,$K$26)+IF(A130&lt;=$E$12,$E$24*D130,0))</f>
        <v>5000</v>
      </c>
      <c r="F130" s="47" t="str">
        <f t="shared" ref="F130:F161" si="31">IF(ISERROR(A130),NA(),"")</f>
        <v/>
      </c>
      <c r="G130" s="47">
        <f>IF(ISERROR(A130),NA(),IF(A130&lt;=$E$12,MIN($E$25*E130,$E$26*$E$25*D130),0))</f>
        <v>1500</v>
      </c>
      <c r="H130" s="47">
        <f>IF(ISERROR(A130),NA(),IF(ISERROR(B130),0,IF(AND(B130&gt;=$K$19,B130&lt;($K$19+$K$22)),$K$20*(1+$K$21)^(B130-$K$19),0)))</f>
        <v>0</v>
      </c>
      <c r="I130" s="47">
        <f>IF(ISERROR(A130),NA(),IF(B130&gt;=$E$10,D130-H130,0))</f>
        <v>0</v>
      </c>
      <c r="J130" s="71">
        <f>IF(ISERROR(A130),NA(),FV(C130/$E$43,$E$43,-(E130+G130)/$E$43,-(K129-I130*$E$44),0)-(K129+E130+G130-I130*$E$44))</f>
        <v>1200.00000000001</v>
      </c>
      <c r="K130" s="71">
        <f t="shared" ref="K130:K161" si="32">IF(ISERROR(A130),NA(),K129+E130+G130+J130-I130)</f>
        <v>27700</v>
      </c>
      <c r="L130" s="2"/>
      <c r="M130" s="2"/>
      <c r="N130" s="2"/>
      <c r="O130" s="2"/>
    </row>
    <row r="131" spans="1:15">
      <c r="A131" s="44">
        <f t="shared" ref="A131:A194" si="33">IF(OR(K130&lt;0,A130&gt;=($E$10-$E$9)+$E$11),NA(),A130+1)</f>
        <v>2</v>
      </c>
      <c r="B131" s="44">
        <f t="shared" ref="B131:B194" si="34">IF(ISERROR(A131),NA(),$E$9+A131-1)</f>
        <v>26</v>
      </c>
      <c r="C131" s="45">
        <f t="shared" ref="C131:C194" si="35">IF(ISERROR(A131),NA(),IF(B131&lt;$E$10,$E$15,$E$16))</f>
        <v>0.06</v>
      </c>
      <c r="D131" s="47">
        <f>IF(ISERROR(A131),NA(),IF(B131&gt;=$E$10,$K$10*(1+$E$17)^(B131-$E$10),(1+$E$21)*D130))</f>
        <v>51000</v>
      </c>
      <c r="E131" s="47">
        <f t="shared" ref="E131:E194" si="36">IF(ISERROR(A131),NA(),IF(B131=$E$10-1,$K$26)+IF(A131&lt;=$E$12,$E$24*D131,0))</f>
        <v>5100</v>
      </c>
      <c r="F131" s="47" t="str">
        <f t="shared" si="31"/>
        <v/>
      </c>
      <c r="G131" s="47">
        <f t="shared" ref="G131:G194" si="37">IF(ISERROR(A131),NA(),IF(A131&lt;=$E$12,MIN($E$25*E131,$E$26*$E$25*D131),0))</f>
        <v>1530</v>
      </c>
      <c r="H131" s="47">
        <f t="shared" ref="H131:H194" si="38">IF(ISERROR(A131),NA(),IF(ISERROR(B131),0,IF(AND(B131&gt;=$K$19,B131&lt;($K$19+$K$22)),$K$20*(1+$K$21)^(B131-$K$19),0)))</f>
        <v>0</v>
      </c>
      <c r="I131" s="47">
        <f t="shared" ref="I131:I194" si="39">IF(ISERROR(A131),NA(),IF(B131&gt;=$E$10,D131-H131,0))</f>
        <v>0</v>
      </c>
      <c r="J131" s="71">
        <f t="shared" ref="J131:J194" si="40">IF(ISERROR(A131),NA(),FV(C131/$E$43,$E$43,-(E131+G131)/$E$43,-(K130-I131*$E$44),0)-(K130+E131+G131-I131*$E$44))</f>
        <v>1662.00000000001</v>
      </c>
      <c r="K131" s="71">
        <f t="shared" si="32"/>
        <v>35992</v>
      </c>
      <c r="L131" s="2"/>
      <c r="M131" s="2"/>
      <c r="N131" s="2"/>
      <c r="O131" s="2"/>
    </row>
    <row r="132" spans="1:15">
      <c r="A132" s="44">
        <f t="shared" si="33"/>
        <v>3</v>
      </c>
      <c r="B132" s="44">
        <f t="shared" si="34"/>
        <v>27</v>
      </c>
      <c r="C132" s="45">
        <f t="shared" si="35"/>
        <v>0.06</v>
      </c>
      <c r="D132" s="47">
        <f t="shared" ref="D132:D195" si="41">IF(ISERROR(A132),NA(),IF(B132&gt;=$E$10,$K$10*(1+$E$17)^(B132-$E$10),(1+$E$21)*D131))</f>
        <v>52020</v>
      </c>
      <c r="E132" s="47">
        <f t="shared" si="36"/>
        <v>5202</v>
      </c>
      <c r="F132" s="47" t="str">
        <f t="shared" si="31"/>
        <v/>
      </c>
      <c r="G132" s="47">
        <f t="shared" si="37"/>
        <v>1560.6</v>
      </c>
      <c r="H132" s="47">
        <f t="shared" si="38"/>
        <v>0</v>
      </c>
      <c r="I132" s="47">
        <f t="shared" si="39"/>
        <v>0</v>
      </c>
      <c r="J132" s="71">
        <f t="shared" si="40"/>
        <v>2159.52000000001</v>
      </c>
      <c r="K132" s="71">
        <f t="shared" si="32"/>
        <v>44914.12</v>
      </c>
      <c r="L132" s="2"/>
      <c r="M132" s="2"/>
      <c r="N132" s="2"/>
      <c r="O132" s="2"/>
    </row>
    <row r="133" spans="1:15">
      <c r="A133" s="44">
        <f t="shared" si="33"/>
        <v>4</v>
      </c>
      <c r="B133" s="44">
        <f t="shared" si="34"/>
        <v>28</v>
      </c>
      <c r="C133" s="45">
        <f t="shared" si="35"/>
        <v>0.06</v>
      </c>
      <c r="D133" s="47">
        <f t="shared" si="41"/>
        <v>53060.4</v>
      </c>
      <c r="E133" s="47">
        <f t="shared" si="36"/>
        <v>5306.04</v>
      </c>
      <c r="F133" s="47" t="str">
        <f t="shared" si="31"/>
        <v/>
      </c>
      <c r="G133" s="47">
        <f t="shared" si="37"/>
        <v>1591.812</v>
      </c>
      <c r="H133" s="47">
        <f t="shared" si="38"/>
        <v>0</v>
      </c>
      <c r="I133" s="47">
        <f t="shared" si="39"/>
        <v>0</v>
      </c>
      <c r="J133" s="71">
        <f t="shared" si="40"/>
        <v>2694.84720000001</v>
      </c>
      <c r="K133" s="71">
        <f t="shared" si="32"/>
        <v>54506.8192</v>
      </c>
      <c r="L133" s="2"/>
      <c r="M133" s="2"/>
      <c r="N133" s="2"/>
      <c r="O133" s="2"/>
    </row>
    <row r="134" spans="1:15">
      <c r="A134" s="44">
        <f t="shared" si="33"/>
        <v>5</v>
      </c>
      <c r="B134" s="44">
        <f t="shared" si="34"/>
        <v>29</v>
      </c>
      <c r="C134" s="45">
        <f t="shared" si="35"/>
        <v>0.06</v>
      </c>
      <c r="D134" s="47">
        <f t="shared" si="41"/>
        <v>54121.608</v>
      </c>
      <c r="E134" s="47">
        <f t="shared" si="36"/>
        <v>5412.1608</v>
      </c>
      <c r="F134" s="47" t="str">
        <f t="shared" si="31"/>
        <v/>
      </c>
      <c r="G134" s="47">
        <f t="shared" si="37"/>
        <v>1623.64824</v>
      </c>
      <c r="H134" s="47">
        <f t="shared" si="38"/>
        <v>0</v>
      </c>
      <c r="I134" s="47">
        <f t="shared" si="39"/>
        <v>0</v>
      </c>
      <c r="J134" s="71">
        <f t="shared" si="40"/>
        <v>3270.40915200001</v>
      </c>
      <c r="K134" s="71">
        <f t="shared" si="32"/>
        <v>64813.037392</v>
      </c>
      <c r="L134" s="2"/>
      <c r="M134" s="2"/>
      <c r="N134" s="2"/>
      <c r="O134" s="2"/>
    </row>
    <row r="135" spans="1:15">
      <c r="A135" s="44">
        <f t="shared" si="33"/>
        <v>6</v>
      </c>
      <c r="B135" s="44">
        <f t="shared" si="34"/>
        <v>30</v>
      </c>
      <c r="C135" s="45">
        <f t="shared" si="35"/>
        <v>0.06</v>
      </c>
      <c r="D135" s="47">
        <f t="shared" si="41"/>
        <v>55204.04016</v>
      </c>
      <c r="E135" s="47">
        <f t="shared" si="36"/>
        <v>5520.404016</v>
      </c>
      <c r="F135" s="47" t="str">
        <f t="shared" si="31"/>
        <v/>
      </c>
      <c r="G135" s="47">
        <f t="shared" si="37"/>
        <v>1656.1212048</v>
      </c>
      <c r="H135" s="47">
        <f t="shared" si="38"/>
        <v>0</v>
      </c>
      <c r="I135" s="47">
        <f t="shared" si="39"/>
        <v>0</v>
      </c>
      <c r="J135" s="71">
        <f t="shared" si="40"/>
        <v>3888.78224352001</v>
      </c>
      <c r="K135" s="71">
        <f t="shared" si="32"/>
        <v>75878.3448563201</v>
      </c>
      <c r="L135" s="2"/>
      <c r="M135" s="2"/>
      <c r="N135" s="2"/>
      <c r="O135" s="2"/>
    </row>
    <row r="136" spans="1:15">
      <c r="A136" s="44">
        <f t="shared" si="33"/>
        <v>7</v>
      </c>
      <c r="B136" s="44">
        <f t="shared" si="34"/>
        <v>31</v>
      </c>
      <c r="C136" s="45">
        <f t="shared" si="35"/>
        <v>0.06</v>
      </c>
      <c r="D136" s="47">
        <f t="shared" si="41"/>
        <v>56308.1209632</v>
      </c>
      <c r="E136" s="47">
        <f t="shared" si="36"/>
        <v>5630.81209632</v>
      </c>
      <c r="F136" s="47" t="str">
        <f t="shared" si="31"/>
        <v/>
      </c>
      <c r="G136" s="47">
        <f t="shared" si="37"/>
        <v>1689.243628896</v>
      </c>
      <c r="H136" s="47">
        <f t="shared" si="38"/>
        <v>0</v>
      </c>
      <c r="I136" s="47">
        <f t="shared" si="39"/>
        <v>0</v>
      </c>
      <c r="J136" s="71">
        <f t="shared" si="40"/>
        <v>4552.70069137921</v>
      </c>
      <c r="K136" s="71">
        <f t="shared" si="32"/>
        <v>87751.1012729153</v>
      </c>
      <c r="L136" s="2"/>
      <c r="M136" s="2"/>
      <c r="N136" s="2"/>
      <c r="O136" s="2"/>
    </row>
    <row r="137" spans="1:15">
      <c r="A137" s="44">
        <f t="shared" si="33"/>
        <v>8</v>
      </c>
      <c r="B137" s="44">
        <f t="shared" si="34"/>
        <v>32</v>
      </c>
      <c r="C137" s="45">
        <f t="shared" si="35"/>
        <v>0.06</v>
      </c>
      <c r="D137" s="47">
        <f t="shared" si="41"/>
        <v>57434.283382464</v>
      </c>
      <c r="E137" s="47">
        <f t="shared" si="36"/>
        <v>5743.4283382464</v>
      </c>
      <c r="F137" s="47" t="str">
        <f t="shared" si="31"/>
        <v/>
      </c>
      <c r="G137" s="47">
        <f t="shared" si="37"/>
        <v>1723.02850147392</v>
      </c>
      <c r="H137" s="47">
        <f t="shared" si="38"/>
        <v>0</v>
      </c>
      <c r="I137" s="47">
        <f t="shared" si="39"/>
        <v>0</v>
      </c>
      <c r="J137" s="71">
        <f t="shared" si="40"/>
        <v>5265.06607637492</v>
      </c>
      <c r="K137" s="71">
        <f t="shared" si="32"/>
        <v>100482.624189011</v>
      </c>
      <c r="L137" s="2"/>
      <c r="M137" s="2"/>
      <c r="N137" s="2"/>
      <c r="O137" s="2"/>
    </row>
    <row r="138" spans="1:15">
      <c r="A138" s="44">
        <f t="shared" si="33"/>
        <v>9</v>
      </c>
      <c r="B138" s="44">
        <f t="shared" si="34"/>
        <v>33</v>
      </c>
      <c r="C138" s="45">
        <f t="shared" si="35"/>
        <v>0.06</v>
      </c>
      <c r="D138" s="47">
        <f t="shared" si="41"/>
        <v>58582.9690501133</v>
      </c>
      <c r="E138" s="47">
        <f t="shared" si="36"/>
        <v>5858.29690501133</v>
      </c>
      <c r="F138" s="47" t="str">
        <f t="shared" si="31"/>
        <v/>
      </c>
      <c r="G138" s="47">
        <f t="shared" si="37"/>
        <v>1757.4890715034</v>
      </c>
      <c r="H138" s="47">
        <f t="shared" si="38"/>
        <v>0</v>
      </c>
      <c r="I138" s="47">
        <f t="shared" si="39"/>
        <v>0</v>
      </c>
      <c r="J138" s="71">
        <f t="shared" si="40"/>
        <v>6028.95745134064</v>
      </c>
      <c r="K138" s="71">
        <f t="shared" si="32"/>
        <v>114127.367616866</v>
      </c>
      <c r="L138" s="2"/>
      <c r="M138" s="2"/>
      <c r="N138" s="2"/>
      <c r="O138" s="2"/>
    </row>
    <row r="139" spans="1:15">
      <c r="A139" s="44">
        <f t="shared" si="33"/>
        <v>10</v>
      </c>
      <c r="B139" s="44">
        <f t="shared" si="34"/>
        <v>34</v>
      </c>
      <c r="C139" s="45">
        <f t="shared" si="35"/>
        <v>0.06</v>
      </c>
      <c r="D139" s="47">
        <f t="shared" si="41"/>
        <v>59754.6284311156</v>
      </c>
      <c r="E139" s="47">
        <f t="shared" si="36"/>
        <v>5975.46284311156</v>
      </c>
      <c r="F139" s="47" t="str">
        <f t="shared" si="31"/>
        <v/>
      </c>
      <c r="G139" s="47">
        <f t="shared" si="37"/>
        <v>1792.63885293347</v>
      </c>
      <c r="H139" s="47">
        <f t="shared" si="38"/>
        <v>0</v>
      </c>
      <c r="I139" s="47">
        <f t="shared" si="39"/>
        <v>0</v>
      </c>
      <c r="J139" s="71">
        <f t="shared" si="40"/>
        <v>6847.64205701198</v>
      </c>
      <c r="K139" s="71">
        <f t="shared" si="32"/>
        <v>128743.111369923</v>
      </c>
      <c r="L139" s="2"/>
      <c r="M139" s="2"/>
      <c r="N139" s="2"/>
      <c r="O139" s="2"/>
    </row>
    <row r="140" spans="1:15">
      <c r="A140" s="44">
        <f t="shared" si="33"/>
        <v>11</v>
      </c>
      <c r="B140" s="44">
        <f t="shared" si="34"/>
        <v>35</v>
      </c>
      <c r="C140" s="45">
        <f t="shared" si="35"/>
        <v>0.06</v>
      </c>
      <c r="D140" s="47">
        <f t="shared" si="41"/>
        <v>60949.7209997379</v>
      </c>
      <c r="E140" s="47">
        <f t="shared" si="36"/>
        <v>6094.97209997379</v>
      </c>
      <c r="F140" s="47" t="str">
        <f t="shared" si="31"/>
        <v/>
      </c>
      <c r="G140" s="47">
        <f t="shared" si="37"/>
        <v>1828.49162999214</v>
      </c>
      <c r="H140" s="47">
        <f t="shared" si="38"/>
        <v>0</v>
      </c>
      <c r="I140" s="47">
        <f t="shared" si="39"/>
        <v>0</v>
      </c>
      <c r="J140" s="71">
        <f t="shared" si="40"/>
        <v>7724.5866821954</v>
      </c>
      <c r="K140" s="71">
        <f t="shared" si="32"/>
        <v>144391.161782084</v>
      </c>
      <c r="L140" s="2"/>
      <c r="M140" s="2"/>
      <c r="N140" s="2"/>
      <c r="O140" s="2"/>
    </row>
    <row r="141" spans="1:15">
      <c r="A141" s="44">
        <f t="shared" si="33"/>
        <v>12</v>
      </c>
      <c r="B141" s="44">
        <f t="shared" si="34"/>
        <v>36</v>
      </c>
      <c r="C141" s="45">
        <f t="shared" si="35"/>
        <v>0.06</v>
      </c>
      <c r="D141" s="47">
        <f t="shared" si="41"/>
        <v>62168.7154197326</v>
      </c>
      <c r="E141" s="47">
        <f t="shared" si="36"/>
        <v>6216.87154197326</v>
      </c>
      <c r="F141" s="47" t="str">
        <f t="shared" si="31"/>
        <v/>
      </c>
      <c r="G141" s="47">
        <f t="shared" si="37"/>
        <v>1865.06146259198</v>
      </c>
      <c r="H141" s="47">
        <f t="shared" si="38"/>
        <v>0</v>
      </c>
      <c r="I141" s="47">
        <f t="shared" si="39"/>
        <v>0</v>
      </c>
      <c r="J141" s="71">
        <f t="shared" si="40"/>
        <v>8663.46970692507</v>
      </c>
      <c r="K141" s="71">
        <f t="shared" si="32"/>
        <v>161136.564493575</v>
      </c>
      <c r="L141" s="2"/>
      <c r="M141" s="2"/>
      <c r="N141" s="2"/>
      <c r="O141" s="2"/>
    </row>
    <row r="142" spans="1:15">
      <c r="A142" s="44">
        <f t="shared" si="33"/>
        <v>13</v>
      </c>
      <c r="B142" s="44">
        <f t="shared" si="34"/>
        <v>37</v>
      </c>
      <c r="C142" s="45">
        <f t="shared" si="35"/>
        <v>0.06</v>
      </c>
      <c r="D142" s="47">
        <f t="shared" si="41"/>
        <v>63412.0897281273</v>
      </c>
      <c r="E142" s="47">
        <f t="shared" si="36"/>
        <v>6341.20897281273</v>
      </c>
      <c r="F142" s="47" t="str">
        <f t="shared" si="31"/>
        <v/>
      </c>
      <c r="G142" s="47">
        <f t="shared" si="37"/>
        <v>1902.36269184382</v>
      </c>
      <c r="H142" s="47">
        <f t="shared" si="38"/>
        <v>0</v>
      </c>
      <c r="I142" s="47">
        <f t="shared" si="39"/>
        <v>0</v>
      </c>
      <c r="J142" s="71">
        <f t="shared" si="40"/>
        <v>9668.19386961448</v>
      </c>
      <c r="K142" s="71">
        <f t="shared" si="32"/>
        <v>179048.330027846</v>
      </c>
      <c r="L142" s="2"/>
      <c r="M142" s="2"/>
      <c r="N142" s="2"/>
      <c r="O142" s="2"/>
    </row>
    <row r="143" spans="1:15">
      <c r="A143" s="44">
        <f t="shared" si="33"/>
        <v>14</v>
      </c>
      <c r="B143" s="44">
        <f t="shared" si="34"/>
        <v>38</v>
      </c>
      <c r="C143" s="45">
        <f t="shared" si="35"/>
        <v>0.06</v>
      </c>
      <c r="D143" s="47">
        <f t="shared" si="41"/>
        <v>64680.3315226898</v>
      </c>
      <c r="E143" s="47">
        <f t="shared" si="36"/>
        <v>6468.03315226898</v>
      </c>
      <c r="F143" s="47" t="str">
        <f t="shared" si="31"/>
        <v/>
      </c>
      <c r="G143" s="47">
        <f t="shared" si="37"/>
        <v>1940.40994568069</v>
      </c>
      <c r="H143" s="47">
        <f t="shared" si="38"/>
        <v>0</v>
      </c>
      <c r="I143" s="47">
        <f t="shared" si="39"/>
        <v>0</v>
      </c>
      <c r="J143" s="71">
        <f t="shared" si="40"/>
        <v>10742.8998016707</v>
      </c>
      <c r="K143" s="71">
        <f t="shared" si="32"/>
        <v>198199.672927466</v>
      </c>
      <c r="L143" s="2"/>
      <c r="M143" s="2"/>
      <c r="N143" s="2"/>
      <c r="O143" s="2"/>
    </row>
    <row r="144" spans="1:15">
      <c r="A144" s="44">
        <f t="shared" si="33"/>
        <v>15</v>
      </c>
      <c r="B144" s="44">
        <f t="shared" si="34"/>
        <v>39</v>
      </c>
      <c r="C144" s="45">
        <f t="shared" si="35"/>
        <v>0.06</v>
      </c>
      <c r="D144" s="47">
        <f t="shared" si="41"/>
        <v>65973.9381531436</v>
      </c>
      <c r="E144" s="47">
        <f t="shared" si="36"/>
        <v>6597.39381531436</v>
      </c>
      <c r="F144" s="47" t="str">
        <f t="shared" si="31"/>
        <v/>
      </c>
      <c r="G144" s="47">
        <f t="shared" si="37"/>
        <v>1979.21814459431</v>
      </c>
      <c r="H144" s="47">
        <f t="shared" si="38"/>
        <v>0</v>
      </c>
      <c r="I144" s="47">
        <f t="shared" si="39"/>
        <v>0</v>
      </c>
      <c r="J144" s="71">
        <f t="shared" si="40"/>
        <v>11891.980375648</v>
      </c>
      <c r="K144" s="71">
        <f t="shared" si="32"/>
        <v>218668.265263023</v>
      </c>
      <c r="L144" s="2"/>
      <c r="M144" s="2"/>
      <c r="N144" s="2"/>
      <c r="O144" s="2"/>
    </row>
    <row r="145" spans="1:15">
      <c r="A145" s="44">
        <f t="shared" si="33"/>
        <v>16</v>
      </c>
      <c r="B145" s="44">
        <f t="shared" si="34"/>
        <v>40</v>
      </c>
      <c r="C145" s="45">
        <f t="shared" si="35"/>
        <v>0.06</v>
      </c>
      <c r="D145" s="47">
        <f t="shared" si="41"/>
        <v>67293.4169162065</v>
      </c>
      <c r="E145" s="47">
        <f t="shared" si="36"/>
        <v>6729.34169162065</v>
      </c>
      <c r="F145" s="47" t="str">
        <f t="shared" si="31"/>
        <v/>
      </c>
      <c r="G145" s="47">
        <f t="shared" si="37"/>
        <v>2018.80250748619</v>
      </c>
      <c r="H145" s="47">
        <f t="shared" si="38"/>
        <v>0</v>
      </c>
      <c r="I145" s="47">
        <f t="shared" si="39"/>
        <v>0</v>
      </c>
      <c r="J145" s="71">
        <f t="shared" si="40"/>
        <v>13120.0959157814</v>
      </c>
      <c r="K145" s="71">
        <f t="shared" si="32"/>
        <v>240536.505377911</v>
      </c>
      <c r="L145" s="2"/>
      <c r="M145" s="2"/>
      <c r="N145" s="2"/>
      <c r="O145" s="2"/>
    </row>
    <row r="146" spans="1:15">
      <c r="A146" s="44">
        <f t="shared" si="33"/>
        <v>17</v>
      </c>
      <c r="B146" s="44">
        <f t="shared" si="34"/>
        <v>41</v>
      </c>
      <c r="C146" s="45">
        <f t="shared" si="35"/>
        <v>0.06</v>
      </c>
      <c r="D146" s="47">
        <f t="shared" si="41"/>
        <v>68639.2852545306</v>
      </c>
      <c r="E146" s="47">
        <f t="shared" si="36"/>
        <v>6863.92852545306</v>
      </c>
      <c r="F146" s="47" t="str">
        <f t="shared" si="31"/>
        <v/>
      </c>
      <c r="G146" s="47">
        <f t="shared" si="37"/>
        <v>2059.17855763592</v>
      </c>
      <c r="H146" s="47">
        <f t="shared" si="38"/>
        <v>0</v>
      </c>
      <c r="I146" s="47">
        <f t="shared" si="39"/>
        <v>0</v>
      </c>
      <c r="J146" s="71">
        <f t="shared" si="40"/>
        <v>14432.1903226747</v>
      </c>
      <c r="K146" s="71">
        <f t="shared" si="32"/>
        <v>263891.802783675</v>
      </c>
      <c r="L146" s="2"/>
      <c r="M146" s="2"/>
      <c r="N146" s="2"/>
      <c r="O146" s="2"/>
    </row>
    <row r="147" spans="1:15">
      <c r="A147" s="44">
        <f t="shared" si="33"/>
        <v>18</v>
      </c>
      <c r="B147" s="44">
        <f t="shared" si="34"/>
        <v>42</v>
      </c>
      <c r="C147" s="45">
        <f t="shared" si="35"/>
        <v>0.06</v>
      </c>
      <c r="D147" s="47">
        <f t="shared" si="41"/>
        <v>70012.0709596212</v>
      </c>
      <c r="E147" s="47">
        <f t="shared" si="36"/>
        <v>7001.20709596212</v>
      </c>
      <c r="F147" s="47" t="str">
        <f t="shared" si="31"/>
        <v/>
      </c>
      <c r="G147" s="47">
        <f t="shared" si="37"/>
        <v>2100.36212878864</v>
      </c>
      <c r="H147" s="47">
        <f t="shared" si="38"/>
        <v>0</v>
      </c>
      <c r="I147" s="47">
        <f t="shared" si="39"/>
        <v>0</v>
      </c>
      <c r="J147" s="71">
        <f t="shared" si="40"/>
        <v>15833.5081670205</v>
      </c>
      <c r="K147" s="71">
        <f t="shared" si="32"/>
        <v>288826.880175446</v>
      </c>
      <c r="L147" s="2"/>
      <c r="M147" s="2"/>
      <c r="N147" s="2"/>
      <c r="O147" s="2"/>
    </row>
    <row r="148" spans="1:15">
      <c r="A148" s="44">
        <f t="shared" si="33"/>
        <v>19</v>
      </c>
      <c r="B148" s="44">
        <f t="shared" si="34"/>
        <v>43</v>
      </c>
      <c r="C148" s="45">
        <f t="shared" si="35"/>
        <v>0.06</v>
      </c>
      <c r="D148" s="47">
        <f t="shared" si="41"/>
        <v>71412.3123788137</v>
      </c>
      <c r="E148" s="47">
        <f t="shared" si="36"/>
        <v>7141.23123788137</v>
      </c>
      <c r="F148" s="47" t="str">
        <f t="shared" si="31"/>
        <v/>
      </c>
      <c r="G148" s="47">
        <f t="shared" si="37"/>
        <v>2142.36937136441</v>
      </c>
      <c r="H148" s="47">
        <f t="shared" si="38"/>
        <v>0</v>
      </c>
      <c r="I148" s="47">
        <f t="shared" si="39"/>
        <v>0</v>
      </c>
      <c r="J148" s="71">
        <f t="shared" si="40"/>
        <v>17329.6128105267</v>
      </c>
      <c r="K148" s="71">
        <f t="shared" si="32"/>
        <v>315440.093595218</v>
      </c>
      <c r="L148" s="2"/>
      <c r="M148" s="2"/>
      <c r="N148" s="2"/>
      <c r="O148" s="2"/>
    </row>
    <row r="149" spans="1:15">
      <c r="A149" s="44">
        <f t="shared" si="33"/>
        <v>20</v>
      </c>
      <c r="B149" s="44">
        <f t="shared" si="34"/>
        <v>44</v>
      </c>
      <c r="C149" s="45">
        <f t="shared" si="35"/>
        <v>0.06</v>
      </c>
      <c r="D149" s="47">
        <f t="shared" si="41"/>
        <v>72840.5586263899</v>
      </c>
      <c r="E149" s="47">
        <f t="shared" si="36"/>
        <v>7284.05586263899</v>
      </c>
      <c r="F149" s="47" t="str">
        <f t="shared" si="31"/>
        <v/>
      </c>
      <c r="G149" s="47">
        <f t="shared" si="37"/>
        <v>2185.2167587917</v>
      </c>
      <c r="H149" s="47">
        <f t="shared" si="38"/>
        <v>0</v>
      </c>
      <c r="I149" s="47">
        <f t="shared" si="39"/>
        <v>0</v>
      </c>
      <c r="J149" s="71">
        <f t="shared" si="40"/>
        <v>18926.4056157131</v>
      </c>
      <c r="K149" s="71">
        <f t="shared" si="32"/>
        <v>343835.771832362</v>
      </c>
      <c r="L149" s="2"/>
      <c r="M149" s="2"/>
      <c r="N149" s="2"/>
      <c r="O149" s="2"/>
    </row>
    <row r="150" spans="1:15">
      <c r="A150" s="44">
        <f t="shared" si="33"/>
        <v>21</v>
      </c>
      <c r="B150" s="44">
        <f t="shared" si="34"/>
        <v>45</v>
      </c>
      <c r="C150" s="45">
        <f t="shared" si="35"/>
        <v>0.06</v>
      </c>
      <c r="D150" s="47">
        <f t="shared" si="41"/>
        <v>74297.3697989177</v>
      </c>
      <c r="E150" s="47">
        <f t="shared" si="36"/>
        <v>7429.73697989178</v>
      </c>
      <c r="F150" s="47" t="str">
        <f t="shared" si="31"/>
        <v/>
      </c>
      <c r="G150" s="47">
        <f t="shared" si="37"/>
        <v>2228.92109396753</v>
      </c>
      <c r="H150" s="47">
        <f t="shared" si="38"/>
        <v>0</v>
      </c>
      <c r="I150" s="47">
        <f t="shared" si="39"/>
        <v>0</v>
      </c>
      <c r="J150" s="71">
        <f t="shared" si="40"/>
        <v>20630.1463099417</v>
      </c>
      <c r="K150" s="71">
        <f t="shared" si="32"/>
        <v>374124.576216163</v>
      </c>
      <c r="L150" s="2"/>
      <c r="M150" s="2"/>
      <c r="N150" s="2"/>
      <c r="O150" s="2"/>
    </row>
    <row r="151" spans="1:15">
      <c r="A151" s="44">
        <f t="shared" si="33"/>
        <v>22</v>
      </c>
      <c r="B151" s="44">
        <f t="shared" si="34"/>
        <v>46</v>
      </c>
      <c r="C151" s="45">
        <f t="shared" si="35"/>
        <v>0.06</v>
      </c>
      <c r="D151" s="47">
        <f t="shared" si="41"/>
        <v>75783.3171948961</v>
      </c>
      <c r="E151" s="47">
        <f t="shared" si="36"/>
        <v>7578.33171948961</v>
      </c>
      <c r="F151" s="47" t="str">
        <f t="shared" si="31"/>
        <v/>
      </c>
      <c r="G151" s="47">
        <f t="shared" si="37"/>
        <v>2273.49951584688</v>
      </c>
      <c r="H151" s="47">
        <f t="shared" si="38"/>
        <v>0</v>
      </c>
      <c r="I151" s="47">
        <f t="shared" si="39"/>
        <v>0</v>
      </c>
      <c r="J151" s="71">
        <f t="shared" si="40"/>
        <v>22447.4745729698</v>
      </c>
      <c r="K151" s="71">
        <f t="shared" si="32"/>
        <v>406423.882024469</v>
      </c>
      <c r="L151" s="2"/>
      <c r="M151" s="2"/>
      <c r="N151" s="2"/>
      <c r="O151" s="2"/>
    </row>
    <row r="152" spans="1:15">
      <c r="A152" s="44">
        <f t="shared" si="33"/>
        <v>23</v>
      </c>
      <c r="B152" s="44">
        <f t="shared" si="34"/>
        <v>47</v>
      </c>
      <c r="C152" s="45">
        <f t="shared" si="35"/>
        <v>0.06</v>
      </c>
      <c r="D152" s="47">
        <f t="shared" si="41"/>
        <v>77298.983538794</v>
      </c>
      <c r="E152" s="47">
        <f t="shared" si="36"/>
        <v>7729.8983538794</v>
      </c>
      <c r="F152" s="47" t="str">
        <f t="shared" si="31"/>
        <v/>
      </c>
      <c r="G152" s="47">
        <f t="shared" si="37"/>
        <v>2318.96950616382</v>
      </c>
      <c r="H152" s="47">
        <f t="shared" si="38"/>
        <v>0</v>
      </c>
      <c r="I152" s="47">
        <f t="shared" si="39"/>
        <v>0</v>
      </c>
      <c r="J152" s="71">
        <f t="shared" si="40"/>
        <v>24385.4329214682</v>
      </c>
      <c r="K152" s="71">
        <f t="shared" si="32"/>
        <v>440858.182805981</v>
      </c>
      <c r="L152" s="2"/>
      <c r="M152" s="2"/>
      <c r="N152" s="2"/>
      <c r="O152" s="2"/>
    </row>
    <row r="153" spans="1:15">
      <c r="A153" s="44">
        <f t="shared" si="33"/>
        <v>24</v>
      </c>
      <c r="B153" s="44">
        <f t="shared" si="34"/>
        <v>48</v>
      </c>
      <c r="C153" s="45">
        <f t="shared" si="35"/>
        <v>0.06</v>
      </c>
      <c r="D153" s="47">
        <f t="shared" si="41"/>
        <v>78844.9632095699</v>
      </c>
      <c r="E153" s="47">
        <f t="shared" si="36"/>
        <v>7884.49632095699</v>
      </c>
      <c r="F153" s="47" t="str">
        <f t="shared" si="31"/>
        <v/>
      </c>
      <c r="G153" s="47">
        <f t="shared" si="37"/>
        <v>2365.3488962871</v>
      </c>
      <c r="H153" s="47">
        <f t="shared" si="38"/>
        <v>0</v>
      </c>
      <c r="I153" s="47">
        <f t="shared" si="39"/>
        <v>0</v>
      </c>
      <c r="J153" s="71">
        <f t="shared" si="40"/>
        <v>26451.4909683589</v>
      </c>
      <c r="K153" s="71">
        <f t="shared" si="32"/>
        <v>477559.518991584</v>
      </c>
      <c r="L153" s="2"/>
      <c r="M153" s="2"/>
      <c r="N153" s="2"/>
      <c r="O153" s="2"/>
    </row>
    <row r="154" spans="1:15">
      <c r="A154" s="44">
        <f t="shared" si="33"/>
        <v>25</v>
      </c>
      <c r="B154" s="44">
        <f t="shared" si="34"/>
        <v>49</v>
      </c>
      <c r="C154" s="45">
        <f t="shared" si="35"/>
        <v>0.06</v>
      </c>
      <c r="D154" s="47">
        <f t="shared" si="41"/>
        <v>80421.8624737613</v>
      </c>
      <c r="E154" s="47">
        <f t="shared" si="36"/>
        <v>8042.18624737613</v>
      </c>
      <c r="F154" s="47" t="str">
        <f t="shared" si="31"/>
        <v/>
      </c>
      <c r="G154" s="47">
        <f t="shared" si="37"/>
        <v>2412.65587421284</v>
      </c>
      <c r="H154" s="47">
        <f t="shared" si="38"/>
        <v>0</v>
      </c>
      <c r="I154" s="47">
        <f t="shared" si="39"/>
        <v>0</v>
      </c>
      <c r="J154" s="71">
        <f t="shared" si="40"/>
        <v>28653.5711394951</v>
      </c>
      <c r="K154" s="71">
        <f t="shared" si="32"/>
        <v>516667.932252668</v>
      </c>
      <c r="L154" s="2"/>
      <c r="M154" s="2"/>
      <c r="N154" s="2"/>
      <c r="O154" s="2"/>
    </row>
    <row r="155" spans="1:15">
      <c r="A155" s="44">
        <f t="shared" si="33"/>
        <v>26</v>
      </c>
      <c r="B155" s="44">
        <f t="shared" si="34"/>
        <v>50</v>
      </c>
      <c r="C155" s="45">
        <f t="shared" si="35"/>
        <v>0.06</v>
      </c>
      <c r="D155" s="47">
        <f t="shared" si="41"/>
        <v>82030.2997232365</v>
      </c>
      <c r="E155" s="47">
        <f t="shared" si="36"/>
        <v>8203.02997232365</v>
      </c>
      <c r="F155" s="47" t="str">
        <f t="shared" si="31"/>
        <v/>
      </c>
      <c r="G155" s="47">
        <f t="shared" si="37"/>
        <v>2460.9089916971</v>
      </c>
      <c r="H155" s="47">
        <f t="shared" si="38"/>
        <v>0</v>
      </c>
      <c r="I155" s="47">
        <f t="shared" si="39"/>
        <v>0</v>
      </c>
      <c r="J155" s="71">
        <f t="shared" si="40"/>
        <v>31000.0759351602</v>
      </c>
      <c r="K155" s="71">
        <f t="shared" si="32"/>
        <v>558331.947151849</v>
      </c>
      <c r="L155" s="2"/>
      <c r="M155" s="2"/>
      <c r="N155" s="2"/>
      <c r="O155" s="2"/>
    </row>
    <row r="156" spans="1:15">
      <c r="A156" s="44">
        <f t="shared" si="33"/>
        <v>27</v>
      </c>
      <c r="B156" s="44">
        <f t="shared" si="34"/>
        <v>51</v>
      </c>
      <c r="C156" s="45">
        <f t="shared" si="35"/>
        <v>0.06</v>
      </c>
      <c r="D156" s="47">
        <f t="shared" si="41"/>
        <v>83670.9057177013</v>
      </c>
      <c r="E156" s="47">
        <f t="shared" si="36"/>
        <v>8367.09057177013</v>
      </c>
      <c r="F156" s="47" t="str">
        <f t="shared" si="31"/>
        <v/>
      </c>
      <c r="G156" s="47">
        <f t="shared" si="37"/>
        <v>2510.12717153104</v>
      </c>
      <c r="H156" s="47">
        <f t="shared" si="38"/>
        <v>0</v>
      </c>
      <c r="I156" s="47">
        <f t="shared" si="39"/>
        <v>0</v>
      </c>
      <c r="J156" s="71">
        <f t="shared" si="40"/>
        <v>33499.9168291109</v>
      </c>
      <c r="K156" s="71">
        <f t="shared" si="32"/>
        <v>602709.081724261</v>
      </c>
      <c r="L156" s="2"/>
      <c r="M156" s="2"/>
      <c r="N156" s="2"/>
      <c r="O156" s="2"/>
    </row>
    <row r="157" spans="1:15">
      <c r="A157" s="44">
        <f t="shared" si="33"/>
        <v>28</v>
      </c>
      <c r="B157" s="44">
        <f t="shared" si="34"/>
        <v>52</v>
      </c>
      <c r="C157" s="45">
        <f t="shared" si="35"/>
        <v>0.06</v>
      </c>
      <c r="D157" s="47">
        <f t="shared" si="41"/>
        <v>85344.3238320553</v>
      </c>
      <c r="E157" s="47">
        <f t="shared" si="36"/>
        <v>8534.43238320553</v>
      </c>
      <c r="F157" s="47" t="str">
        <f t="shared" si="31"/>
        <v/>
      </c>
      <c r="G157" s="47">
        <f t="shared" si="37"/>
        <v>2560.32971496166</v>
      </c>
      <c r="H157" s="47">
        <f t="shared" si="38"/>
        <v>0</v>
      </c>
      <c r="I157" s="47">
        <f t="shared" si="39"/>
        <v>0</v>
      </c>
      <c r="J157" s="71">
        <f t="shared" si="40"/>
        <v>36162.5449034557</v>
      </c>
      <c r="K157" s="71">
        <f t="shared" si="32"/>
        <v>649966.388725884</v>
      </c>
      <c r="L157" s="2"/>
      <c r="M157" s="2"/>
      <c r="N157" s="2"/>
      <c r="O157" s="2"/>
    </row>
    <row r="158" spans="1:15">
      <c r="A158" s="44">
        <f t="shared" si="33"/>
        <v>29</v>
      </c>
      <c r="B158" s="44">
        <f t="shared" si="34"/>
        <v>53</v>
      </c>
      <c r="C158" s="45">
        <f t="shared" si="35"/>
        <v>0.06</v>
      </c>
      <c r="D158" s="47">
        <f t="shared" si="41"/>
        <v>87051.2103086964</v>
      </c>
      <c r="E158" s="47">
        <f t="shared" si="36"/>
        <v>8705.12103086964</v>
      </c>
      <c r="F158" s="47" t="str">
        <f t="shared" si="31"/>
        <v/>
      </c>
      <c r="G158" s="47">
        <f t="shared" si="37"/>
        <v>2611.53630926089</v>
      </c>
      <c r="H158" s="47">
        <f t="shared" si="38"/>
        <v>0</v>
      </c>
      <c r="I158" s="47">
        <f t="shared" si="39"/>
        <v>0</v>
      </c>
      <c r="J158" s="71">
        <f t="shared" si="40"/>
        <v>38997.9833235531</v>
      </c>
      <c r="K158" s="71">
        <f t="shared" si="32"/>
        <v>700281.029389567</v>
      </c>
      <c r="L158" s="2"/>
      <c r="M158" s="2"/>
      <c r="N158" s="2"/>
      <c r="O158" s="2"/>
    </row>
    <row r="159" spans="1:15">
      <c r="A159" s="44">
        <f t="shared" si="33"/>
        <v>30</v>
      </c>
      <c r="B159" s="44">
        <f t="shared" si="34"/>
        <v>54</v>
      </c>
      <c r="C159" s="45">
        <f t="shared" si="35"/>
        <v>0.06</v>
      </c>
      <c r="D159" s="47">
        <f t="shared" si="41"/>
        <v>88792.2345148703</v>
      </c>
      <c r="E159" s="47">
        <f t="shared" si="36"/>
        <v>8879.22345148703</v>
      </c>
      <c r="F159" s="47" t="str">
        <f t="shared" si="31"/>
        <v/>
      </c>
      <c r="G159" s="47">
        <f t="shared" si="37"/>
        <v>2663.76703544611</v>
      </c>
      <c r="H159" s="47">
        <f t="shared" si="38"/>
        <v>0</v>
      </c>
      <c r="I159" s="47">
        <f t="shared" si="39"/>
        <v>0</v>
      </c>
      <c r="J159" s="71">
        <f t="shared" si="40"/>
        <v>42016.8617633741</v>
      </c>
      <c r="K159" s="71">
        <f t="shared" si="32"/>
        <v>753840.881639875</v>
      </c>
      <c r="L159" s="2"/>
      <c r="M159" s="2"/>
      <c r="N159" s="2"/>
      <c r="O159" s="2"/>
    </row>
    <row r="160" spans="1:15">
      <c r="A160" s="44">
        <f t="shared" si="33"/>
        <v>31</v>
      </c>
      <c r="B160" s="44">
        <f t="shared" si="34"/>
        <v>55</v>
      </c>
      <c r="C160" s="45">
        <f t="shared" si="35"/>
        <v>0.06</v>
      </c>
      <c r="D160" s="47">
        <f t="shared" si="41"/>
        <v>90568.0792051677</v>
      </c>
      <c r="E160" s="47">
        <f t="shared" si="36"/>
        <v>9056.80792051677</v>
      </c>
      <c r="F160" s="47" t="str">
        <f t="shared" si="31"/>
        <v/>
      </c>
      <c r="G160" s="47">
        <f t="shared" si="37"/>
        <v>2717.04237615503</v>
      </c>
      <c r="H160" s="47">
        <f t="shared" si="38"/>
        <v>0</v>
      </c>
      <c r="I160" s="47">
        <f t="shared" si="39"/>
        <v>0</v>
      </c>
      <c r="J160" s="71">
        <f t="shared" si="40"/>
        <v>45230.4528983926</v>
      </c>
      <c r="K160" s="71">
        <f t="shared" si="32"/>
        <v>810845.184834939</v>
      </c>
      <c r="L160" s="2"/>
      <c r="M160" s="2"/>
      <c r="N160" s="2"/>
      <c r="O160" s="2"/>
    </row>
    <row r="161" spans="1:15">
      <c r="A161" s="44">
        <f t="shared" si="33"/>
        <v>32</v>
      </c>
      <c r="B161" s="44">
        <f t="shared" si="34"/>
        <v>56</v>
      </c>
      <c r="C161" s="45">
        <f t="shared" si="35"/>
        <v>0.06</v>
      </c>
      <c r="D161" s="47">
        <f t="shared" si="41"/>
        <v>92379.4407892711</v>
      </c>
      <c r="E161" s="47">
        <f t="shared" si="36"/>
        <v>9237.94407892711</v>
      </c>
      <c r="F161" s="47" t="str">
        <f t="shared" si="31"/>
        <v/>
      </c>
      <c r="G161" s="47">
        <f t="shared" si="37"/>
        <v>2771.38322367813</v>
      </c>
      <c r="H161" s="47">
        <f t="shared" si="38"/>
        <v>0</v>
      </c>
      <c r="I161" s="47">
        <f t="shared" si="39"/>
        <v>0</v>
      </c>
      <c r="J161" s="71">
        <f t="shared" si="40"/>
        <v>48650.7110900964</v>
      </c>
      <c r="K161" s="71">
        <f t="shared" si="32"/>
        <v>871505.223227641</v>
      </c>
      <c r="L161" s="2"/>
      <c r="M161" s="2"/>
      <c r="N161" s="2"/>
      <c r="O161" s="2"/>
    </row>
    <row r="162" spans="1:15">
      <c r="A162" s="44">
        <f t="shared" si="33"/>
        <v>33</v>
      </c>
      <c r="B162" s="44">
        <f t="shared" si="34"/>
        <v>57</v>
      </c>
      <c r="C162" s="45">
        <f t="shared" si="35"/>
        <v>0.06</v>
      </c>
      <c r="D162" s="47">
        <f t="shared" si="41"/>
        <v>94227.0296050565</v>
      </c>
      <c r="E162" s="47">
        <f t="shared" si="36"/>
        <v>9422.70296050565</v>
      </c>
      <c r="F162" s="47" t="str">
        <f t="shared" ref="F162:F193" si="42">IF(ISERROR(A162),NA(),"")</f>
        <v/>
      </c>
      <c r="G162" s="47">
        <f t="shared" si="37"/>
        <v>2826.8108881517</v>
      </c>
      <c r="H162" s="47">
        <f t="shared" si="38"/>
        <v>0</v>
      </c>
      <c r="I162" s="47">
        <f t="shared" si="39"/>
        <v>0</v>
      </c>
      <c r="J162" s="71">
        <f t="shared" si="40"/>
        <v>52290.3133936586</v>
      </c>
      <c r="K162" s="71">
        <f t="shared" ref="K162:K193" si="43">IF(ISERROR(A162),NA(),K161+E162+G162+J162-I162)</f>
        <v>936045.050469957</v>
      </c>
      <c r="L162" s="2"/>
      <c r="M162" s="2"/>
      <c r="N162" s="2"/>
      <c r="O162" s="2"/>
    </row>
    <row r="163" spans="1:15">
      <c r="A163" s="44">
        <f t="shared" si="33"/>
        <v>34</v>
      </c>
      <c r="B163" s="44">
        <f t="shared" si="34"/>
        <v>58</v>
      </c>
      <c r="C163" s="45">
        <f t="shared" si="35"/>
        <v>0.06</v>
      </c>
      <c r="D163" s="47">
        <f t="shared" si="41"/>
        <v>96111.5701971576</v>
      </c>
      <c r="E163" s="47">
        <f t="shared" si="36"/>
        <v>9611.15701971577</v>
      </c>
      <c r="F163" s="47" t="str">
        <f t="shared" si="42"/>
        <v/>
      </c>
      <c r="G163" s="47">
        <f t="shared" si="37"/>
        <v>2883.34710591473</v>
      </c>
      <c r="H163" s="47">
        <f t="shared" si="38"/>
        <v>0</v>
      </c>
      <c r="I163" s="47">
        <f t="shared" si="39"/>
        <v>0</v>
      </c>
      <c r="J163" s="71">
        <f t="shared" si="40"/>
        <v>56162.7030281974</v>
      </c>
      <c r="K163" s="71">
        <f t="shared" si="43"/>
        <v>1004702.25762378</v>
      </c>
      <c r="L163" s="2"/>
      <c r="M163" s="2"/>
      <c r="N163" s="2"/>
      <c r="O163" s="2"/>
    </row>
    <row r="164" spans="1:15">
      <c r="A164" s="44">
        <f t="shared" si="33"/>
        <v>35</v>
      </c>
      <c r="B164" s="44">
        <f t="shared" si="34"/>
        <v>59</v>
      </c>
      <c r="C164" s="45">
        <f t="shared" si="35"/>
        <v>0.06</v>
      </c>
      <c r="D164" s="47">
        <f t="shared" si="41"/>
        <v>98033.8016011008</v>
      </c>
      <c r="E164" s="47">
        <f t="shared" si="36"/>
        <v>9803.38016011008</v>
      </c>
      <c r="F164" s="47" t="str">
        <f t="shared" si="42"/>
        <v/>
      </c>
      <c r="G164" s="47">
        <f t="shared" si="37"/>
        <v>2941.01404803302</v>
      </c>
      <c r="H164" s="47">
        <f t="shared" si="38"/>
        <v>0</v>
      </c>
      <c r="I164" s="47">
        <f t="shared" si="39"/>
        <v>0</v>
      </c>
      <c r="J164" s="71">
        <f t="shared" si="40"/>
        <v>60282.1354574269</v>
      </c>
      <c r="K164" s="71">
        <f t="shared" si="43"/>
        <v>1077728.78728935</v>
      </c>
      <c r="L164" s="2"/>
      <c r="M164" s="2"/>
      <c r="N164" s="2"/>
      <c r="O164" s="2"/>
    </row>
    <row r="165" spans="1:15">
      <c r="A165" s="44">
        <f t="shared" si="33"/>
        <v>36</v>
      </c>
      <c r="B165" s="44">
        <f t="shared" si="34"/>
        <v>60</v>
      </c>
      <c r="C165" s="45">
        <f t="shared" si="35"/>
        <v>0.06</v>
      </c>
      <c r="D165" s="47">
        <f t="shared" si="41"/>
        <v>99994.4776331228</v>
      </c>
      <c r="E165" s="47">
        <f t="shared" si="36"/>
        <v>9999.44776331228</v>
      </c>
      <c r="F165" s="47" t="str">
        <f t="shared" si="42"/>
        <v/>
      </c>
      <c r="G165" s="47">
        <f t="shared" si="37"/>
        <v>2999.83432899368</v>
      </c>
      <c r="H165" s="47">
        <f t="shared" si="38"/>
        <v>0</v>
      </c>
      <c r="I165" s="47">
        <f t="shared" si="39"/>
        <v>0</v>
      </c>
      <c r="J165" s="71">
        <f t="shared" si="40"/>
        <v>64663.7272373613</v>
      </c>
      <c r="K165" s="71">
        <f t="shared" si="43"/>
        <v>1155391.79661902</v>
      </c>
      <c r="L165" s="2"/>
      <c r="M165" s="2"/>
      <c r="N165" s="2"/>
      <c r="O165" s="2"/>
    </row>
    <row r="166" spans="1:15">
      <c r="A166" s="44">
        <f t="shared" si="33"/>
        <v>37</v>
      </c>
      <c r="B166" s="44">
        <f t="shared" si="34"/>
        <v>61</v>
      </c>
      <c r="C166" s="45">
        <f t="shared" si="35"/>
        <v>0.06</v>
      </c>
      <c r="D166" s="47">
        <f t="shared" si="41"/>
        <v>101994.367185785</v>
      </c>
      <c r="E166" s="47">
        <f t="shared" si="36"/>
        <v>10199.4367185785</v>
      </c>
      <c r="F166" s="47" t="str">
        <f t="shared" si="42"/>
        <v/>
      </c>
      <c r="G166" s="47">
        <f t="shared" si="37"/>
        <v>3059.83101557356</v>
      </c>
      <c r="H166" s="47">
        <f t="shared" si="38"/>
        <v>0</v>
      </c>
      <c r="I166" s="47">
        <f t="shared" si="39"/>
        <v>0</v>
      </c>
      <c r="J166" s="71">
        <f t="shared" si="40"/>
        <v>69323.5077971413</v>
      </c>
      <c r="K166" s="71">
        <f t="shared" si="43"/>
        <v>1237974.57215032</v>
      </c>
      <c r="L166" s="2"/>
      <c r="M166" s="2"/>
      <c r="N166" s="2"/>
      <c r="O166" s="2"/>
    </row>
    <row r="167" spans="1:15">
      <c r="A167" s="44">
        <f t="shared" si="33"/>
        <v>38</v>
      </c>
      <c r="B167" s="44">
        <f t="shared" si="34"/>
        <v>62</v>
      </c>
      <c r="C167" s="45">
        <f t="shared" si="35"/>
        <v>0.06</v>
      </c>
      <c r="D167" s="47">
        <f t="shared" si="41"/>
        <v>104034.254529501</v>
      </c>
      <c r="E167" s="47">
        <f t="shared" si="36"/>
        <v>10403.4254529501</v>
      </c>
      <c r="F167" s="47" t="str">
        <f t="shared" si="42"/>
        <v/>
      </c>
      <c r="G167" s="47">
        <f t="shared" si="37"/>
        <v>3121.02763588503</v>
      </c>
      <c r="H167" s="47">
        <f t="shared" si="38"/>
        <v>0</v>
      </c>
      <c r="I167" s="47">
        <f t="shared" si="39"/>
        <v>0</v>
      </c>
      <c r="J167" s="71">
        <f t="shared" si="40"/>
        <v>74278.474329019</v>
      </c>
      <c r="K167" s="71">
        <f t="shared" si="43"/>
        <v>1325777.49956817</v>
      </c>
      <c r="L167" s="2"/>
      <c r="M167" s="2"/>
      <c r="N167" s="2"/>
      <c r="O167" s="2"/>
    </row>
    <row r="168" spans="1:15">
      <c r="A168" s="44">
        <f t="shared" si="33"/>
        <v>39</v>
      </c>
      <c r="B168" s="44">
        <f t="shared" si="34"/>
        <v>63</v>
      </c>
      <c r="C168" s="45">
        <f t="shared" si="35"/>
        <v>0.06</v>
      </c>
      <c r="D168" s="47">
        <f t="shared" si="41"/>
        <v>106114.939620091</v>
      </c>
      <c r="E168" s="47">
        <f t="shared" si="36"/>
        <v>10611.4939620091</v>
      </c>
      <c r="F168" s="47" t="str">
        <f t="shared" si="42"/>
        <v/>
      </c>
      <c r="G168" s="47">
        <f t="shared" si="37"/>
        <v>3183.44818860273</v>
      </c>
      <c r="H168" s="47">
        <f t="shared" si="38"/>
        <v>0</v>
      </c>
      <c r="I168" s="47">
        <f t="shared" si="39"/>
        <v>0</v>
      </c>
      <c r="J168" s="71">
        <f t="shared" si="40"/>
        <v>79546.6499740903</v>
      </c>
      <c r="K168" s="71">
        <f t="shared" si="43"/>
        <v>1419119.09169287</v>
      </c>
      <c r="L168" s="2"/>
      <c r="M168" s="2"/>
      <c r="N168" s="2"/>
      <c r="O168" s="2"/>
    </row>
    <row r="169" spans="1:15">
      <c r="A169" s="44">
        <f t="shared" si="33"/>
        <v>40</v>
      </c>
      <c r="B169" s="44">
        <f t="shared" si="34"/>
        <v>64</v>
      </c>
      <c r="C169" s="45">
        <f t="shared" si="35"/>
        <v>0.06</v>
      </c>
      <c r="D169" s="47">
        <f t="shared" si="41"/>
        <v>108237.238412493</v>
      </c>
      <c r="E169" s="47">
        <f t="shared" si="36"/>
        <v>10823.7238412493</v>
      </c>
      <c r="F169" s="47" t="str">
        <f t="shared" si="42"/>
        <v/>
      </c>
      <c r="G169" s="47">
        <f t="shared" si="37"/>
        <v>3247.11715237478</v>
      </c>
      <c r="H169" s="47">
        <f t="shared" si="38"/>
        <v>0</v>
      </c>
      <c r="I169" s="47">
        <f t="shared" si="39"/>
        <v>0</v>
      </c>
      <c r="J169" s="71">
        <f t="shared" si="40"/>
        <v>85147.1455015726</v>
      </c>
      <c r="K169" s="71">
        <f t="shared" si="43"/>
        <v>1518337.07818807</v>
      </c>
      <c r="L169" s="2"/>
      <c r="M169" s="2"/>
      <c r="N169" s="2"/>
      <c r="O169" s="2"/>
    </row>
    <row r="170" spans="1:15">
      <c r="A170" s="44">
        <f t="shared" si="33"/>
        <v>41</v>
      </c>
      <c r="B170" s="44">
        <f t="shared" si="34"/>
        <v>65</v>
      </c>
      <c r="C170" s="45">
        <f t="shared" si="35"/>
        <v>0.03</v>
      </c>
      <c r="D170" s="47">
        <f t="shared" si="41"/>
        <v>163101.889599954</v>
      </c>
      <c r="E170" s="47">
        <f t="shared" si="36"/>
        <v>0</v>
      </c>
      <c r="F170" s="47" t="str">
        <f t="shared" si="42"/>
        <v/>
      </c>
      <c r="G170" s="47">
        <f t="shared" si="37"/>
        <v>0</v>
      </c>
      <c r="H170" s="47">
        <f t="shared" si="38"/>
        <v>0</v>
      </c>
      <c r="I170" s="47">
        <f t="shared" si="39"/>
        <v>163101.889599954</v>
      </c>
      <c r="J170" s="71">
        <f t="shared" si="40"/>
        <v>40657.0556576434</v>
      </c>
      <c r="K170" s="71">
        <f t="shared" si="43"/>
        <v>1395892.24424576</v>
      </c>
      <c r="L170" s="2"/>
      <c r="M170" s="2"/>
      <c r="N170" s="2"/>
      <c r="O170" s="2"/>
    </row>
    <row r="171" spans="1:15">
      <c r="A171" s="44">
        <f t="shared" si="33"/>
        <v>42</v>
      </c>
      <c r="B171" s="44">
        <f t="shared" si="34"/>
        <v>66</v>
      </c>
      <c r="C171" s="45">
        <f t="shared" si="35"/>
        <v>0.03</v>
      </c>
      <c r="D171" s="47">
        <f t="shared" si="41"/>
        <v>167994.946287952</v>
      </c>
      <c r="E171" s="47">
        <f t="shared" si="36"/>
        <v>0</v>
      </c>
      <c r="F171" s="47" t="str">
        <f t="shared" si="42"/>
        <v/>
      </c>
      <c r="G171" s="47">
        <f t="shared" si="37"/>
        <v>0</v>
      </c>
      <c r="H171" s="47">
        <f t="shared" si="38"/>
        <v>0</v>
      </c>
      <c r="I171" s="47">
        <f t="shared" si="39"/>
        <v>167994.946287952</v>
      </c>
      <c r="J171" s="71">
        <f t="shared" si="40"/>
        <v>36836.9189387341</v>
      </c>
      <c r="K171" s="71">
        <f t="shared" si="43"/>
        <v>1264734.21689654</v>
      </c>
      <c r="L171" s="2"/>
      <c r="M171" s="2"/>
      <c r="N171" s="2"/>
      <c r="O171" s="2"/>
    </row>
    <row r="172" spans="1:15">
      <c r="A172" s="44">
        <f t="shared" si="33"/>
        <v>43</v>
      </c>
      <c r="B172" s="44">
        <f t="shared" si="34"/>
        <v>67</v>
      </c>
      <c r="C172" s="45">
        <f t="shared" si="35"/>
        <v>0.03</v>
      </c>
      <c r="D172" s="47">
        <f t="shared" si="41"/>
        <v>173034.794676591</v>
      </c>
      <c r="E172" s="47">
        <f t="shared" si="36"/>
        <v>0</v>
      </c>
      <c r="F172" s="47" t="str">
        <f t="shared" si="42"/>
        <v/>
      </c>
      <c r="G172" s="47">
        <f t="shared" si="37"/>
        <v>0</v>
      </c>
      <c r="H172" s="47">
        <f t="shared" si="38"/>
        <v>0</v>
      </c>
      <c r="I172" s="47">
        <f t="shared" si="39"/>
        <v>173034.794676591</v>
      </c>
      <c r="J172" s="71">
        <f t="shared" si="40"/>
        <v>32750.9826665984</v>
      </c>
      <c r="K172" s="71">
        <f t="shared" si="43"/>
        <v>1124450.40488655</v>
      </c>
      <c r="L172" s="2"/>
      <c r="M172" s="2"/>
      <c r="N172" s="2"/>
      <c r="O172" s="2"/>
    </row>
    <row r="173" spans="1:15">
      <c r="A173" s="44">
        <f t="shared" si="33"/>
        <v>44</v>
      </c>
      <c r="B173" s="44">
        <f t="shared" si="34"/>
        <v>68</v>
      </c>
      <c r="C173" s="45">
        <f t="shared" si="35"/>
        <v>0.03</v>
      </c>
      <c r="D173" s="47">
        <f t="shared" si="41"/>
        <v>178225.838516888</v>
      </c>
      <c r="E173" s="47">
        <f t="shared" si="36"/>
        <v>0</v>
      </c>
      <c r="F173" s="47" t="str">
        <f t="shared" si="42"/>
        <v/>
      </c>
      <c r="G173" s="47">
        <f t="shared" si="37"/>
        <v>0</v>
      </c>
      <c r="H173" s="47">
        <f t="shared" si="38"/>
        <v>0</v>
      </c>
      <c r="I173" s="47">
        <f t="shared" si="39"/>
        <v>178225.838516888</v>
      </c>
      <c r="J173" s="71">
        <f t="shared" si="40"/>
        <v>28386.7369910898</v>
      </c>
      <c r="K173" s="71">
        <f t="shared" si="43"/>
        <v>974611.303360749</v>
      </c>
      <c r="L173" s="2"/>
      <c r="M173" s="2"/>
      <c r="N173" s="2"/>
      <c r="O173" s="2"/>
    </row>
    <row r="174" spans="1:15">
      <c r="A174" s="44">
        <f t="shared" si="33"/>
        <v>45</v>
      </c>
      <c r="B174" s="44">
        <f t="shared" si="34"/>
        <v>69</v>
      </c>
      <c r="C174" s="45">
        <f t="shared" si="35"/>
        <v>0.03</v>
      </c>
      <c r="D174" s="47">
        <f t="shared" si="41"/>
        <v>183572.613672395</v>
      </c>
      <c r="E174" s="47">
        <f t="shared" si="36"/>
        <v>0</v>
      </c>
      <c r="F174" s="47" t="str">
        <f t="shared" si="42"/>
        <v/>
      </c>
      <c r="G174" s="47">
        <f t="shared" si="37"/>
        <v>0</v>
      </c>
      <c r="H174" s="47">
        <f t="shared" si="38"/>
        <v>0</v>
      </c>
      <c r="I174" s="47">
        <f t="shared" si="39"/>
        <v>183572.613672395</v>
      </c>
      <c r="J174" s="71">
        <f t="shared" si="40"/>
        <v>23731.1606906506</v>
      </c>
      <c r="K174" s="71">
        <f t="shared" si="43"/>
        <v>814769.850379004</v>
      </c>
      <c r="L174" s="2"/>
      <c r="M174" s="2"/>
      <c r="N174" s="2"/>
      <c r="O174" s="2"/>
    </row>
    <row r="175" spans="1:15">
      <c r="A175" s="44">
        <f t="shared" si="33"/>
        <v>46</v>
      </c>
      <c r="B175" s="44">
        <f t="shared" si="34"/>
        <v>70</v>
      </c>
      <c r="C175" s="45">
        <f t="shared" si="35"/>
        <v>0.03</v>
      </c>
      <c r="D175" s="47">
        <f t="shared" si="41"/>
        <v>189079.792082567</v>
      </c>
      <c r="E175" s="47">
        <f t="shared" si="36"/>
        <v>0</v>
      </c>
      <c r="F175" s="47" t="str">
        <f t="shared" si="42"/>
        <v/>
      </c>
      <c r="G175" s="47">
        <f t="shared" si="37"/>
        <v>0</v>
      </c>
      <c r="H175" s="47">
        <f t="shared" si="38"/>
        <v>0</v>
      </c>
      <c r="I175" s="47">
        <f t="shared" si="39"/>
        <v>189079.792082567</v>
      </c>
      <c r="J175" s="71">
        <f t="shared" si="40"/>
        <v>18770.7017488931</v>
      </c>
      <c r="K175" s="71">
        <f t="shared" si="43"/>
        <v>644460.76004533</v>
      </c>
      <c r="L175" s="2"/>
      <c r="M175" s="2"/>
      <c r="N175" s="2"/>
      <c r="O175" s="2"/>
    </row>
    <row r="176" spans="1:15">
      <c r="A176" s="44">
        <f t="shared" si="33"/>
        <v>47</v>
      </c>
      <c r="B176" s="44">
        <f t="shared" si="34"/>
        <v>71</v>
      </c>
      <c r="C176" s="45">
        <f t="shared" si="35"/>
        <v>0.03</v>
      </c>
      <c r="D176" s="47">
        <f t="shared" si="41"/>
        <v>194752.185845044</v>
      </c>
      <c r="E176" s="47">
        <f t="shared" si="36"/>
        <v>0</v>
      </c>
      <c r="F176" s="47" t="str">
        <f t="shared" si="42"/>
        <v/>
      </c>
      <c r="G176" s="47">
        <f t="shared" si="37"/>
        <v>0</v>
      </c>
      <c r="H176" s="47">
        <f t="shared" si="38"/>
        <v>0</v>
      </c>
      <c r="I176" s="47">
        <f t="shared" si="39"/>
        <v>194752.185845044</v>
      </c>
      <c r="J176" s="71">
        <f t="shared" si="40"/>
        <v>13491.2572260086</v>
      </c>
      <c r="K176" s="71">
        <f t="shared" si="43"/>
        <v>463199.831426295</v>
      </c>
      <c r="L176" s="2"/>
      <c r="M176" s="2"/>
      <c r="N176" s="2"/>
      <c r="O176" s="2"/>
    </row>
    <row r="177" spans="1:15">
      <c r="A177" s="44">
        <f t="shared" si="33"/>
        <v>48</v>
      </c>
      <c r="B177" s="44">
        <f t="shared" si="34"/>
        <v>72</v>
      </c>
      <c r="C177" s="45">
        <f t="shared" si="35"/>
        <v>0.03</v>
      </c>
      <c r="D177" s="47">
        <f t="shared" si="41"/>
        <v>200594.751420395</v>
      </c>
      <c r="E177" s="47">
        <f t="shared" si="36"/>
        <v>0</v>
      </c>
      <c r="F177" s="47" t="str">
        <f t="shared" si="42"/>
        <v/>
      </c>
      <c r="G177" s="47">
        <f t="shared" si="37"/>
        <v>0</v>
      </c>
      <c r="H177" s="47">
        <f t="shared" si="38"/>
        <v>0</v>
      </c>
      <c r="I177" s="47">
        <f t="shared" si="39"/>
        <v>200594.751420395</v>
      </c>
      <c r="J177" s="71">
        <f t="shared" si="40"/>
        <v>7878.15240017697</v>
      </c>
      <c r="K177" s="71">
        <f t="shared" si="43"/>
        <v>270483.232406077</v>
      </c>
      <c r="L177" s="2"/>
      <c r="M177" s="2"/>
      <c r="N177" s="2"/>
      <c r="O177" s="2"/>
    </row>
    <row r="178" spans="1:15">
      <c r="A178" s="44">
        <f t="shared" si="33"/>
        <v>49</v>
      </c>
      <c r="B178" s="44">
        <f t="shared" si="34"/>
        <v>73</v>
      </c>
      <c r="C178" s="45">
        <f t="shared" si="35"/>
        <v>0.03</v>
      </c>
      <c r="D178" s="47">
        <f t="shared" si="41"/>
        <v>206612.593963007</v>
      </c>
      <c r="E178" s="47">
        <f t="shared" si="36"/>
        <v>0</v>
      </c>
      <c r="F178" s="47" t="str">
        <f t="shared" si="42"/>
        <v/>
      </c>
      <c r="G178" s="47">
        <f t="shared" si="37"/>
        <v>0</v>
      </c>
      <c r="H178" s="47">
        <f t="shared" si="38"/>
        <v>0</v>
      </c>
      <c r="I178" s="47">
        <f t="shared" si="39"/>
        <v>206612.593963007</v>
      </c>
      <c r="J178" s="71">
        <f t="shared" si="40"/>
        <v>1916.11915329208</v>
      </c>
      <c r="K178" s="71">
        <f t="shared" si="43"/>
        <v>65786.7575963615</v>
      </c>
      <c r="L178" s="2"/>
      <c r="M178" s="2"/>
      <c r="N178" s="2"/>
      <c r="O178" s="2"/>
    </row>
    <row r="179" spans="1:15">
      <c r="A179" s="44">
        <f t="shared" si="33"/>
        <v>50</v>
      </c>
      <c r="B179" s="44">
        <f t="shared" si="34"/>
        <v>74</v>
      </c>
      <c r="C179" s="45">
        <f t="shared" si="35"/>
        <v>0.03</v>
      </c>
      <c r="D179" s="47">
        <f t="shared" si="41"/>
        <v>212810.971781897</v>
      </c>
      <c r="E179" s="47">
        <f t="shared" si="36"/>
        <v>0</v>
      </c>
      <c r="F179" s="47" t="str">
        <f t="shared" si="42"/>
        <v/>
      </c>
      <c r="G179" s="47">
        <f t="shared" si="37"/>
        <v>0</v>
      </c>
      <c r="H179" s="47">
        <f t="shared" si="38"/>
        <v>0</v>
      </c>
      <c r="I179" s="47">
        <f t="shared" si="39"/>
        <v>212810.971781897</v>
      </c>
      <c r="J179" s="71">
        <f t="shared" si="40"/>
        <v>-4410.72642556607</v>
      </c>
      <c r="K179" s="71">
        <f t="shared" si="43"/>
        <v>-151434.940611102</v>
      </c>
      <c r="L179" s="2"/>
      <c r="M179" s="2"/>
      <c r="N179" s="2"/>
      <c r="O179" s="2"/>
    </row>
    <row r="180" spans="1:15">
      <c r="A180" s="44" t="e">
        <f t="shared" si="33"/>
        <v>#N/A</v>
      </c>
      <c r="B180" s="44" t="e">
        <f t="shared" si="34"/>
        <v>#N/A</v>
      </c>
      <c r="C180" s="45" t="e">
        <f t="shared" si="35"/>
        <v>#N/A</v>
      </c>
      <c r="D180" s="47" t="e">
        <f t="shared" si="41"/>
        <v>#N/A</v>
      </c>
      <c r="E180" s="47" t="e">
        <f t="shared" si="36"/>
        <v>#N/A</v>
      </c>
      <c r="F180" s="47" t="e">
        <f t="shared" si="42"/>
        <v>#N/A</v>
      </c>
      <c r="G180" s="47" t="e">
        <f t="shared" si="37"/>
        <v>#N/A</v>
      </c>
      <c r="H180" s="47" t="e">
        <f t="shared" si="38"/>
        <v>#N/A</v>
      </c>
      <c r="I180" s="47" t="e">
        <f t="shared" si="39"/>
        <v>#N/A</v>
      </c>
      <c r="J180" s="71" t="e">
        <f t="shared" si="40"/>
        <v>#N/A</v>
      </c>
      <c r="K180" s="71" t="e">
        <f t="shared" si="43"/>
        <v>#N/A</v>
      </c>
      <c r="L180" s="2"/>
      <c r="M180" s="2"/>
      <c r="N180" s="2"/>
      <c r="O180" s="2"/>
    </row>
    <row r="181" spans="1:15">
      <c r="A181" s="44" t="e">
        <f t="shared" si="33"/>
        <v>#N/A</v>
      </c>
      <c r="B181" s="44" t="e">
        <f t="shared" si="34"/>
        <v>#N/A</v>
      </c>
      <c r="C181" s="45" t="e">
        <f t="shared" si="35"/>
        <v>#N/A</v>
      </c>
      <c r="D181" s="47" t="e">
        <f t="shared" si="41"/>
        <v>#N/A</v>
      </c>
      <c r="E181" s="47" t="e">
        <f t="shared" si="36"/>
        <v>#N/A</v>
      </c>
      <c r="F181" s="47" t="e">
        <f t="shared" si="42"/>
        <v>#N/A</v>
      </c>
      <c r="G181" s="47" t="e">
        <f t="shared" si="37"/>
        <v>#N/A</v>
      </c>
      <c r="H181" s="47" t="e">
        <f t="shared" si="38"/>
        <v>#N/A</v>
      </c>
      <c r="I181" s="47" t="e">
        <f t="shared" si="39"/>
        <v>#N/A</v>
      </c>
      <c r="J181" s="71" t="e">
        <f t="shared" si="40"/>
        <v>#N/A</v>
      </c>
      <c r="K181" s="71" t="e">
        <f t="shared" si="43"/>
        <v>#N/A</v>
      </c>
      <c r="L181" s="2"/>
      <c r="M181" s="2"/>
      <c r="N181" s="2"/>
      <c r="O181" s="2"/>
    </row>
    <row r="182" spans="1:15">
      <c r="A182" s="44" t="e">
        <f t="shared" si="33"/>
        <v>#N/A</v>
      </c>
      <c r="B182" s="44" t="e">
        <f t="shared" si="34"/>
        <v>#N/A</v>
      </c>
      <c r="C182" s="45" t="e">
        <f t="shared" si="35"/>
        <v>#N/A</v>
      </c>
      <c r="D182" s="47" t="e">
        <f t="shared" si="41"/>
        <v>#N/A</v>
      </c>
      <c r="E182" s="47" t="e">
        <f t="shared" si="36"/>
        <v>#N/A</v>
      </c>
      <c r="F182" s="47" t="e">
        <f t="shared" si="42"/>
        <v>#N/A</v>
      </c>
      <c r="G182" s="47" t="e">
        <f t="shared" si="37"/>
        <v>#N/A</v>
      </c>
      <c r="H182" s="47" t="e">
        <f t="shared" si="38"/>
        <v>#N/A</v>
      </c>
      <c r="I182" s="47" t="e">
        <f t="shared" si="39"/>
        <v>#N/A</v>
      </c>
      <c r="J182" s="71" t="e">
        <f t="shared" si="40"/>
        <v>#N/A</v>
      </c>
      <c r="K182" s="71" t="e">
        <f t="shared" si="43"/>
        <v>#N/A</v>
      </c>
      <c r="L182" s="2"/>
      <c r="M182" s="2"/>
      <c r="N182" s="2"/>
      <c r="O182" s="2"/>
    </row>
    <row r="183" spans="1:15">
      <c r="A183" s="44" t="e">
        <f t="shared" si="33"/>
        <v>#N/A</v>
      </c>
      <c r="B183" s="44" t="e">
        <f t="shared" si="34"/>
        <v>#N/A</v>
      </c>
      <c r="C183" s="45" t="e">
        <f t="shared" si="35"/>
        <v>#N/A</v>
      </c>
      <c r="D183" s="47" t="e">
        <f t="shared" si="41"/>
        <v>#N/A</v>
      </c>
      <c r="E183" s="47" t="e">
        <f t="shared" si="36"/>
        <v>#N/A</v>
      </c>
      <c r="F183" s="47" t="e">
        <f t="shared" si="42"/>
        <v>#N/A</v>
      </c>
      <c r="G183" s="47" t="e">
        <f t="shared" si="37"/>
        <v>#N/A</v>
      </c>
      <c r="H183" s="47" t="e">
        <f t="shared" si="38"/>
        <v>#N/A</v>
      </c>
      <c r="I183" s="47" t="e">
        <f t="shared" si="39"/>
        <v>#N/A</v>
      </c>
      <c r="J183" s="71" t="e">
        <f t="shared" si="40"/>
        <v>#N/A</v>
      </c>
      <c r="K183" s="71" t="e">
        <f t="shared" si="43"/>
        <v>#N/A</v>
      </c>
      <c r="L183" s="2"/>
      <c r="M183" s="2"/>
      <c r="N183" s="2"/>
      <c r="O183" s="2"/>
    </row>
    <row r="184" spans="1:15">
      <c r="A184" s="44" t="e">
        <f t="shared" si="33"/>
        <v>#N/A</v>
      </c>
      <c r="B184" s="44" t="e">
        <f t="shared" si="34"/>
        <v>#N/A</v>
      </c>
      <c r="C184" s="45" t="e">
        <f t="shared" si="35"/>
        <v>#N/A</v>
      </c>
      <c r="D184" s="47" t="e">
        <f t="shared" si="41"/>
        <v>#N/A</v>
      </c>
      <c r="E184" s="47" t="e">
        <f t="shared" si="36"/>
        <v>#N/A</v>
      </c>
      <c r="F184" s="47" t="e">
        <f t="shared" si="42"/>
        <v>#N/A</v>
      </c>
      <c r="G184" s="47" t="e">
        <f t="shared" si="37"/>
        <v>#N/A</v>
      </c>
      <c r="H184" s="47" t="e">
        <f t="shared" si="38"/>
        <v>#N/A</v>
      </c>
      <c r="I184" s="47" t="e">
        <f t="shared" si="39"/>
        <v>#N/A</v>
      </c>
      <c r="J184" s="71" t="e">
        <f t="shared" si="40"/>
        <v>#N/A</v>
      </c>
      <c r="K184" s="71" t="e">
        <f t="shared" si="43"/>
        <v>#N/A</v>
      </c>
      <c r="L184" s="2"/>
      <c r="M184" s="2"/>
      <c r="N184" s="2"/>
      <c r="O184" s="2"/>
    </row>
    <row r="185" spans="1:15">
      <c r="A185" s="44" t="e">
        <f t="shared" si="33"/>
        <v>#N/A</v>
      </c>
      <c r="B185" s="44" t="e">
        <f t="shared" si="34"/>
        <v>#N/A</v>
      </c>
      <c r="C185" s="45" t="e">
        <f t="shared" si="35"/>
        <v>#N/A</v>
      </c>
      <c r="D185" s="47" t="e">
        <f t="shared" si="41"/>
        <v>#N/A</v>
      </c>
      <c r="E185" s="47" t="e">
        <f t="shared" si="36"/>
        <v>#N/A</v>
      </c>
      <c r="F185" s="47" t="e">
        <f t="shared" si="42"/>
        <v>#N/A</v>
      </c>
      <c r="G185" s="47" t="e">
        <f t="shared" si="37"/>
        <v>#N/A</v>
      </c>
      <c r="H185" s="47" t="e">
        <f t="shared" si="38"/>
        <v>#N/A</v>
      </c>
      <c r="I185" s="47" t="e">
        <f t="shared" si="39"/>
        <v>#N/A</v>
      </c>
      <c r="J185" s="71" t="e">
        <f t="shared" si="40"/>
        <v>#N/A</v>
      </c>
      <c r="K185" s="71" t="e">
        <f t="shared" si="43"/>
        <v>#N/A</v>
      </c>
      <c r="L185" s="2"/>
      <c r="M185" s="2"/>
      <c r="N185" s="2"/>
      <c r="O185" s="2"/>
    </row>
    <row r="186" spans="1:15">
      <c r="A186" s="44" t="e">
        <f t="shared" si="33"/>
        <v>#N/A</v>
      </c>
      <c r="B186" s="44" t="e">
        <f t="shared" si="34"/>
        <v>#N/A</v>
      </c>
      <c r="C186" s="45" t="e">
        <f t="shared" si="35"/>
        <v>#N/A</v>
      </c>
      <c r="D186" s="47" t="e">
        <f t="shared" si="41"/>
        <v>#N/A</v>
      </c>
      <c r="E186" s="47" t="e">
        <f t="shared" si="36"/>
        <v>#N/A</v>
      </c>
      <c r="F186" s="47" t="e">
        <f t="shared" si="42"/>
        <v>#N/A</v>
      </c>
      <c r="G186" s="47" t="e">
        <f t="shared" si="37"/>
        <v>#N/A</v>
      </c>
      <c r="H186" s="47" t="e">
        <f t="shared" si="38"/>
        <v>#N/A</v>
      </c>
      <c r="I186" s="47" t="e">
        <f t="shared" si="39"/>
        <v>#N/A</v>
      </c>
      <c r="J186" s="71" t="e">
        <f t="shared" si="40"/>
        <v>#N/A</v>
      </c>
      <c r="K186" s="71" t="e">
        <f t="shared" si="43"/>
        <v>#N/A</v>
      </c>
      <c r="L186" s="2"/>
      <c r="M186" s="2"/>
      <c r="N186" s="2"/>
      <c r="O186" s="2"/>
    </row>
    <row r="187" spans="1:15">
      <c r="A187" s="44" t="e">
        <f t="shared" si="33"/>
        <v>#N/A</v>
      </c>
      <c r="B187" s="44" t="e">
        <f t="shared" si="34"/>
        <v>#N/A</v>
      </c>
      <c r="C187" s="45" t="e">
        <f t="shared" si="35"/>
        <v>#N/A</v>
      </c>
      <c r="D187" s="47" t="e">
        <f t="shared" si="41"/>
        <v>#N/A</v>
      </c>
      <c r="E187" s="47" t="e">
        <f t="shared" si="36"/>
        <v>#N/A</v>
      </c>
      <c r="F187" s="47" t="e">
        <f t="shared" si="42"/>
        <v>#N/A</v>
      </c>
      <c r="G187" s="47" t="e">
        <f t="shared" si="37"/>
        <v>#N/A</v>
      </c>
      <c r="H187" s="47" t="e">
        <f t="shared" si="38"/>
        <v>#N/A</v>
      </c>
      <c r="I187" s="47" t="e">
        <f t="shared" si="39"/>
        <v>#N/A</v>
      </c>
      <c r="J187" s="71" t="e">
        <f t="shared" si="40"/>
        <v>#N/A</v>
      </c>
      <c r="K187" s="71" t="e">
        <f t="shared" si="43"/>
        <v>#N/A</v>
      </c>
      <c r="L187" s="2"/>
      <c r="M187" s="2"/>
      <c r="N187" s="2"/>
      <c r="O187" s="2"/>
    </row>
    <row r="188" spans="1:15">
      <c r="A188" s="44" t="e">
        <f t="shared" si="33"/>
        <v>#N/A</v>
      </c>
      <c r="B188" s="44" t="e">
        <f t="shared" si="34"/>
        <v>#N/A</v>
      </c>
      <c r="C188" s="45" t="e">
        <f t="shared" si="35"/>
        <v>#N/A</v>
      </c>
      <c r="D188" s="47" t="e">
        <f t="shared" si="41"/>
        <v>#N/A</v>
      </c>
      <c r="E188" s="47" t="e">
        <f t="shared" si="36"/>
        <v>#N/A</v>
      </c>
      <c r="F188" s="47" t="e">
        <f t="shared" si="42"/>
        <v>#N/A</v>
      </c>
      <c r="G188" s="47" t="e">
        <f t="shared" si="37"/>
        <v>#N/A</v>
      </c>
      <c r="H188" s="47" t="e">
        <f t="shared" si="38"/>
        <v>#N/A</v>
      </c>
      <c r="I188" s="47" t="e">
        <f t="shared" si="39"/>
        <v>#N/A</v>
      </c>
      <c r="J188" s="71" t="e">
        <f t="shared" si="40"/>
        <v>#N/A</v>
      </c>
      <c r="K188" s="71" t="e">
        <f t="shared" si="43"/>
        <v>#N/A</v>
      </c>
      <c r="L188" s="2"/>
      <c r="M188" s="2"/>
      <c r="N188" s="2"/>
      <c r="O188" s="2"/>
    </row>
    <row r="189" spans="1:15">
      <c r="A189" s="44" t="e">
        <f t="shared" si="33"/>
        <v>#N/A</v>
      </c>
      <c r="B189" s="44" t="e">
        <f t="shared" si="34"/>
        <v>#N/A</v>
      </c>
      <c r="C189" s="45" t="e">
        <f t="shared" si="35"/>
        <v>#N/A</v>
      </c>
      <c r="D189" s="47" t="e">
        <f t="shared" si="41"/>
        <v>#N/A</v>
      </c>
      <c r="E189" s="47" t="e">
        <f t="shared" si="36"/>
        <v>#N/A</v>
      </c>
      <c r="F189" s="47" t="e">
        <f t="shared" si="42"/>
        <v>#N/A</v>
      </c>
      <c r="G189" s="47" t="e">
        <f t="shared" si="37"/>
        <v>#N/A</v>
      </c>
      <c r="H189" s="47" t="e">
        <f t="shared" si="38"/>
        <v>#N/A</v>
      </c>
      <c r="I189" s="47" t="e">
        <f t="shared" si="39"/>
        <v>#N/A</v>
      </c>
      <c r="J189" s="71" t="e">
        <f t="shared" si="40"/>
        <v>#N/A</v>
      </c>
      <c r="K189" s="71" t="e">
        <f t="shared" si="43"/>
        <v>#N/A</v>
      </c>
      <c r="L189" s="2"/>
      <c r="M189" s="2"/>
      <c r="N189" s="2"/>
      <c r="O189" s="2"/>
    </row>
    <row r="190" spans="1:15">
      <c r="A190" s="44" t="e">
        <f t="shared" si="33"/>
        <v>#N/A</v>
      </c>
      <c r="B190" s="44" t="e">
        <f t="shared" si="34"/>
        <v>#N/A</v>
      </c>
      <c r="C190" s="45" t="e">
        <f t="shared" si="35"/>
        <v>#N/A</v>
      </c>
      <c r="D190" s="47" t="e">
        <f t="shared" si="41"/>
        <v>#N/A</v>
      </c>
      <c r="E190" s="47" t="e">
        <f t="shared" si="36"/>
        <v>#N/A</v>
      </c>
      <c r="F190" s="47" t="e">
        <f t="shared" si="42"/>
        <v>#N/A</v>
      </c>
      <c r="G190" s="47" t="e">
        <f t="shared" si="37"/>
        <v>#N/A</v>
      </c>
      <c r="H190" s="47" t="e">
        <f t="shared" si="38"/>
        <v>#N/A</v>
      </c>
      <c r="I190" s="47" t="e">
        <f t="shared" si="39"/>
        <v>#N/A</v>
      </c>
      <c r="J190" s="71" t="e">
        <f t="shared" si="40"/>
        <v>#N/A</v>
      </c>
      <c r="K190" s="71" t="e">
        <f t="shared" si="43"/>
        <v>#N/A</v>
      </c>
      <c r="L190" s="2"/>
      <c r="M190" s="2"/>
      <c r="N190" s="2"/>
      <c r="O190" s="2"/>
    </row>
    <row r="191" spans="1:15">
      <c r="A191" s="44" t="e">
        <f t="shared" si="33"/>
        <v>#N/A</v>
      </c>
      <c r="B191" s="44" t="e">
        <f t="shared" si="34"/>
        <v>#N/A</v>
      </c>
      <c r="C191" s="45" t="e">
        <f t="shared" si="35"/>
        <v>#N/A</v>
      </c>
      <c r="D191" s="47" t="e">
        <f t="shared" si="41"/>
        <v>#N/A</v>
      </c>
      <c r="E191" s="47" t="e">
        <f t="shared" si="36"/>
        <v>#N/A</v>
      </c>
      <c r="F191" s="47" t="e">
        <f t="shared" si="42"/>
        <v>#N/A</v>
      </c>
      <c r="G191" s="47" t="e">
        <f t="shared" si="37"/>
        <v>#N/A</v>
      </c>
      <c r="H191" s="47" t="e">
        <f t="shared" si="38"/>
        <v>#N/A</v>
      </c>
      <c r="I191" s="47" t="e">
        <f t="shared" si="39"/>
        <v>#N/A</v>
      </c>
      <c r="J191" s="71" t="e">
        <f t="shared" si="40"/>
        <v>#N/A</v>
      </c>
      <c r="K191" s="71" t="e">
        <f t="shared" si="43"/>
        <v>#N/A</v>
      </c>
      <c r="L191" s="2"/>
      <c r="M191" s="2"/>
      <c r="N191" s="2"/>
      <c r="O191" s="2"/>
    </row>
    <row r="192" spans="1:15">
      <c r="A192" s="44" t="e">
        <f t="shared" si="33"/>
        <v>#N/A</v>
      </c>
      <c r="B192" s="44" t="e">
        <f t="shared" si="34"/>
        <v>#N/A</v>
      </c>
      <c r="C192" s="45" t="e">
        <f t="shared" si="35"/>
        <v>#N/A</v>
      </c>
      <c r="D192" s="47" t="e">
        <f t="shared" si="41"/>
        <v>#N/A</v>
      </c>
      <c r="E192" s="47" t="e">
        <f t="shared" si="36"/>
        <v>#N/A</v>
      </c>
      <c r="F192" s="47" t="e">
        <f t="shared" si="42"/>
        <v>#N/A</v>
      </c>
      <c r="G192" s="47" t="e">
        <f t="shared" si="37"/>
        <v>#N/A</v>
      </c>
      <c r="H192" s="47" t="e">
        <f t="shared" si="38"/>
        <v>#N/A</v>
      </c>
      <c r="I192" s="47" t="e">
        <f t="shared" si="39"/>
        <v>#N/A</v>
      </c>
      <c r="J192" s="71" t="e">
        <f t="shared" si="40"/>
        <v>#N/A</v>
      </c>
      <c r="K192" s="71" t="e">
        <f t="shared" si="43"/>
        <v>#N/A</v>
      </c>
      <c r="L192" s="2"/>
      <c r="M192" s="2"/>
      <c r="N192" s="2"/>
      <c r="O192" s="2"/>
    </row>
    <row r="193" spans="1:11">
      <c r="A193" s="74" t="e">
        <f t="shared" si="33"/>
        <v>#N/A</v>
      </c>
      <c r="B193" s="74" t="e">
        <f t="shared" si="34"/>
        <v>#N/A</v>
      </c>
      <c r="C193" s="75" t="e">
        <f t="shared" si="35"/>
        <v>#N/A</v>
      </c>
      <c r="D193" s="76" t="e">
        <f t="shared" si="41"/>
        <v>#N/A</v>
      </c>
      <c r="E193" s="76" t="e">
        <f t="shared" si="36"/>
        <v>#N/A</v>
      </c>
      <c r="F193" s="76" t="e">
        <f t="shared" si="42"/>
        <v>#N/A</v>
      </c>
      <c r="G193" s="76" t="e">
        <f t="shared" si="37"/>
        <v>#N/A</v>
      </c>
      <c r="H193" s="76" t="e">
        <f t="shared" si="38"/>
        <v>#N/A</v>
      </c>
      <c r="I193" s="76" t="e">
        <f t="shared" si="39"/>
        <v>#N/A</v>
      </c>
      <c r="J193" s="78" t="e">
        <f t="shared" si="40"/>
        <v>#N/A</v>
      </c>
      <c r="K193" s="78" t="e">
        <f t="shared" si="43"/>
        <v>#N/A</v>
      </c>
    </row>
    <row r="194" spans="1:11">
      <c r="A194" s="74" t="e">
        <f t="shared" si="33"/>
        <v>#N/A</v>
      </c>
      <c r="B194" s="74" t="e">
        <f t="shared" si="34"/>
        <v>#N/A</v>
      </c>
      <c r="C194" s="75" t="e">
        <f t="shared" si="35"/>
        <v>#N/A</v>
      </c>
      <c r="D194" s="76" t="e">
        <f t="shared" si="41"/>
        <v>#N/A</v>
      </c>
      <c r="E194" s="76" t="e">
        <f t="shared" si="36"/>
        <v>#N/A</v>
      </c>
      <c r="F194" s="76" t="e">
        <f t="shared" ref="F194:F204" si="44">IF(ISERROR(A194),NA(),"")</f>
        <v>#N/A</v>
      </c>
      <c r="G194" s="76" t="e">
        <f t="shared" si="37"/>
        <v>#N/A</v>
      </c>
      <c r="H194" s="76" t="e">
        <f t="shared" si="38"/>
        <v>#N/A</v>
      </c>
      <c r="I194" s="76" t="e">
        <f t="shared" si="39"/>
        <v>#N/A</v>
      </c>
      <c r="J194" s="78" t="e">
        <f t="shared" si="40"/>
        <v>#N/A</v>
      </c>
      <c r="K194" s="78" t="e">
        <f t="shared" ref="K194:K204" si="45">IF(ISERROR(A194),NA(),K193+E194+G194+J194-I194)</f>
        <v>#N/A</v>
      </c>
    </row>
    <row r="195" spans="1:11">
      <c r="A195" s="74" t="e">
        <f t="shared" ref="A195:A204" si="46">IF(OR(K194&lt;0,A194&gt;=($E$10-$E$9)+$E$11),NA(),A194+1)</f>
        <v>#N/A</v>
      </c>
      <c r="B195" s="74" t="e">
        <f t="shared" ref="B195:B204" si="47">IF(ISERROR(A195),NA(),$E$9+A195-1)</f>
        <v>#N/A</v>
      </c>
      <c r="C195" s="75" t="e">
        <f t="shared" ref="C195:C204" si="48">IF(ISERROR(A195),NA(),IF(B195&lt;$E$10,$E$15,$E$16))</f>
        <v>#N/A</v>
      </c>
      <c r="D195" s="76" t="e">
        <f t="shared" si="41"/>
        <v>#N/A</v>
      </c>
      <c r="E195" s="76" t="e">
        <f t="shared" ref="E195:E204" si="49">IF(ISERROR(A195),NA(),IF(B195=$E$10-1,$K$26)+IF(A195&lt;=$E$12,$E$24*D195,0))</f>
        <v>#N/A</v>
      </c>
      <c r="F195" s="76" t="e">
        <f t="shared" si="44"/>
        <v>#N/A</v>
      </c>
      <c r="G195" s="76" t="e">
        <f t="shared" ref="G195:G204" si="50">IF(ISERROR(A195),NA(),IF(A195&lt;=$E$12,MIN($E$25*E195,$E$26*$E$25*D195),0))</f>
        <v>#N/A</v>
      </c>
      <c r="H195" s="76" t="e">
        <f t="shared" ref="H195:H204" si="51">IF(ISERROR(A195),NA(),IF(ISERROR(B195),0,IF(AND(B195&gt;=$K$19,B195&lt;($K$19+$K$22)),$K$20*(1+$K$21)^(B195-$K$19),0)))</f>
        <v>#N/A</v>
      </c>
      <c r="I195" s="76" t="e">
        <f t="shared" ref="I195:I204" si="52">IF(ISERROR(A195),NA(),IF(B195&gt;=$E$10,D195-H195,0))</f>
        <v>#N/A</v>
      </c>
      <c r="J195" s="78" t="e">
        <f t="shared" ref="J195:J204" si="53">IF(ISERROR(A195),NA(),FV(C195/$E$43,$E$43,-(E195+G195)/$E$43,-(K194-I195*$E$44),0)-(K194+E195+G195-I195*$E$44))</f>
        <v>#N/A</v>
      </c>
      <c r="K195" s="78" t="e">
        <f t="shared" si="45"/>
        <v>#N/A</v>
      </c>
    </row>
    <row r="196" spans="1:11">
      <c r="A196" s="74" t="e">
        <f t="shared" si="46"/>
        <v>#N/A</v>
      </c>
      <c r="B196" s="74" t="e">
        <f t="shared" si="47"/>
        <v>#N/A</v>
      </c>
      <c r="C196" s="75" t="e">
        <f t="shared" si="48"/>
        <v>#N/A</v>
      </c>
      <c r="D196" s="76" t="e">
        <f t="shared" ref="D196:D204" si="54">IF(ISERROR(A196),NA(),IF(B196&gt;=$E$10,$K$10*(1+$E$17)^(B196-$E$10),(1+$E$21)*D195))</f>
        <v>#N/A</v>
      </c>
      <c r="E196" s="76" t="e">
        <f t="shared" si="49"/>
        <v>#N/A</v>
      </c>
      <c r="F196" s="76" t="e">
        <f t="shared" si="44"/>
        <v>#N/A</v>
      </c>
      <c r="G196" s="76" t="e">
        <f t="shared" si="50"/>
        <v>#N/A</v>
      </c>
      <c r="H196" s="76" t="e">
        <f t="shared" si="51"/>
        <v>#N/A</v>
      </c>
      <c r="I196" s="76" t="e">
        <f t="shared" si="52"/>
        <v>#N/A</v>
      </c>
      <c r="J196" s="78" t="e">
        <f t="shared" si="53"/>
        <v>#N/A</v>
      </c>
      <c r="K196" s="78" t="e">
        <f t="shared" si="45"/>
        <v>#N/A</v>
      </c>
    </row>
    <row r="197" spans="1:11">
      <c r="A197" s="74" t="e">
        <f t="shared" si="46"/>
        <v>#N/A</v>
      </c>
      <c r="B197" s="74" t="e">
        <f t="shared" si="47"/>
        <v>#N/A</v>
      </c>
      <c r="C197" s="75" t="e">
        <f t="shared" si="48"/>
        <v>#N/A</v>
      </c>
      <c r="D197" s="76" t="e">
        <f t="shared" si="54"/>
        <v>#N/A</v>
      </c>
      <c r="E197" s="76" t="e">
        <f t="shared" si="49"/>
        <v>#N/A</v>
      </c>
      <c r="F197" s="76" t="e">
        <f t="shared" si="44"/>
        <v>#N/A</v>
      </c>
      <c r="G197" s="76" t="e">
        <f t="shared" si="50"/>
        <v>#N/A</v>
      </c>
      <c r="H197" s="76" t="e">
        <f t="shared" si="51"/>
        <v>#N/A</v>
      </c>
      <c r="I197" s="76" t="e">
        <f t="shared" si="52"/>
        <v>#N/A</v>
      </c>
      <c r="J197" s="78" t="e">
        <f t="shared" si="53"/>
        <v>#N/A</v>
      </c>
      <c r="K197" s="78" t="e">
        <f t="shared" si="45"/>
        <v>#N/A</v>
      </c>
    </row>
    <row r="198" spans="1:11">
      <c r="A198" s="74" t="e">
        <f t="shared" si="46"/>
        <v>#N/A</v>
      </c>
      <c r="B198" s="74" t="e">
        <f t="shared" si="47"/>
        <v>#N/A</v>
      </c>
      <c r="C198" s="75" t="e">
        <f t="shared" si="48"/>
        <v>#N/A</v>
      </c>
      <c r="D198" s="76" t="e">
        <f t="shared" si="54"/>
        <v>#N/A</v>
      </c>
      <c r="E198" s="76" t="e">
        <f t="shared" si="49"/>
        <v>#N/A</v>
      </c>
      <c r="F198" s="76" t="e">
        <f t="shared" si="44"/>
        <v>#N/A</v>
      </c>
      <c r="G198" s="76" t="e">
        <f t="shared" si="50"/>
        <v>#N/A</v>
      </c>
      <c r="H198" s="76" t="e">
        <f t="shared" si="51"/>
        <v>#N/A</v>
      </c>
      <c r="I198" s="76" t="e">
        <f t="shared" si="52"/>
        <v>#N/A</v>
      </c>
      <c r="J198" s="78" t="e">
        <f t="shared" si="53"/>
        <v>#N/A</v>
      </c>
      <c r="K198" s="78" t="e">
        <f t="shared" si="45"/>
        <v>#N/A</v>
      </c>
    </row>
    <row r="199" spans="1:11">
      <c r="A199" s="74" t="e">
        <f t="shared" si="46"/>
        <v>#N/A</v>
      </c>
      <c r="B199" s="74" t="e">
        <f t="shared" si="47"/>
        <v>#N/A</v>
      </c>
      <c r="C199" s="75" t="e">
        <f t="shared" si="48"/>
        <v>#N/A</v>
      </c>
      <c r="D199" s="76" t="e">
        <f t="shared" si="54"/>
        <v>#N/A</v>
      </c>
      <c r="E199" s="76" t="e">
        <f t="shared" si="49"/>
        <v>#N/A</v>
      </c>
      <c r="F199" s="76" t="e">
        <f t="shared" si="44"/>
        <v>#N/A</v>
      </c>
      <c r="G199" s="76" t="e">
        <f t="shared" si="50"/>
        <v>#N/A</v>
      </c>
      <c r="H199" s="76" t="e">
        <f t="shared" si="51"/>
        <v>#N/A</v>
      </c>
      <c r="I199" s="76" t="e">
        <f t="shared" si="52"/>
        <v>#N/A</v>
      </c>
      <c r="J199" s="78" t="e">
        <f t="shared" si="53"/>
        <v>#N/A</v>
      </c>
      <c r="K199" s="78" t="e">
        <f t="shared" si="45"/>
        <v>#N/A</v>
      </c>
    </row>
    <row r="200" spans="1:11">
      <c r="A200" s="74" t="e">
        <f t="shared" si="46"/>
        <v>#N/A</v>
      </c>
      <c r="B200" s="74" t="e">
        <f t="shared" si="47"/>
        <v>#N/A</v>
      </c>
      <c r="C200" s="75" t="e">
        <f t="shared" si="48"/>
        <v>#N/A</v>
      </c>
      <c r="D200" s="76" t="e">
        <f t="shared" si="54"/>
        <v>#N/A</v>
      </c>
      <c r="E200" s="76" t="e">
        <f t="shared" si="49"/>
        <v>#N/A</v>
      </c>
      <c r="F200" s="76" t="e">
        <f t="shared" si="44"/>
        <v>#N/A</v>
      </c>
      <c r="G200" s="76" t="e">
        <f t="shared" si="50"/>
        <v>#N/A</v>
      </c>
      <c r="H200" s="76" t="e">
        <f t="shared" si="51"/>
        <v>#N/A</v>
      </c>
      <c r="I200" s="76" t="e">
        <f t="shared" si="52"/>
        <v>#N/A</v>
      </c>
      <c r="J200" s="78" t="e">
        <f t="shared" si="53"/>
        <v>#N/A</v>
      </c>
      <c r="K200" s="78" t="e">
        <f t="shared" si="45"/>
        <v>#N/A</v>
      </c>
    </row>
    <row r="201" spans="1:11">
      <c r="A201" s="74" t="e">
        <f t="shared" si="46"/>
        <v>#N/A</v>
      </c>
      <c r="B201" s="74" t="e">
        <f t="shared" si="47"/>
        <v>#N/A</v>
      </c>
      <c r="C201" s="75" t="e">
        <f t="shared" si="48"/>
        <v>#N/A</v>
      </c>
      <c r="D201" s="76" t="e">
        <f t="shared" si="54"/>
        <v>#N/A</v>
      </c>
      <c r="E201" s="76" t="e">
        <f t="shared" si="49"/>
        <v>#N/A</v>
      </c>
      <c r="F201" s="76" t="e">
        <f t="shared" si="44"/>
        <v>#N/A</v>
      </c>
      <c r="G201" s="76" t="e">
        <f t="shared" si="50"/>
        <v>#N/A</v>
      </c>
      <c r="H201" s="76" t="e">
        <f t="shared" si="51"/>
        <v>#N/A</v>
      </c>
      <c r="I201" s="76" t="e">
        <f t="shared" si="52"/>
        <v>#N/A</v>
      </c>
      <c r="J201" s="78" t="e">
        <f t="shared" si="53"/>
        <v>#N/A</v>
      </c>
      <c r="K201" s="78" t="e">
        <f t="shared" si="45"/>
        <v>#N/A</v>
      </c>
    </row>
    <row r="202" spans="1:11">
      <c r="A202" s="74" t="e">
        <f t="shared" si="46"/>
        <v>#N/A</v>
      </c>
      <c r="B202" s="74" t="e">
        <f t="shared" si="47"/>
        <v>#N/A</v>
      </c>
      <c r="C202" s="75" t="e">
        <f t="shared" si="48"/>
        <v>#N/A</v>
      </c>
      <c r="D202" s="76" t="e">
        <f t="shared" si="54"/>
        <v>#N/A</v>
      </c>
      <c r="E202" s="76" t="e">
        <f t="shared" si="49"/>
        <v>#N/A</v>
      </c>
      <c r="F202" s="76" t="e">
        <f t="shared" si="44"/>
        <v>#N/A</v>
      </c>
      <c r="G202" s="76" t="e">
        <f t="shared" si="50"/>
        <v>#N/A</v>
      </c>
      <c r="H202" s="76" t="e">
        <f t="shared" si="51"/>
        <v>#N/A</v>
      </c>
      <c r="I202" s="76" t="e">
        <f t="shared" si="52"/>
        <v>#N/A</v>
      </c>
      <c r="J202" s="78" t="e">
        <f t="shared" si="53"/>
        <v>#N/A</v>
      </c>
      <c r="K202" s="78" t="e">
        <f t="shared" si="45"/>
        <v>#N/A</v>
      </c>
    </row>
    <row r="203" spans="1:11">
      <c r="A203" s="74" t="e">
        <f t="shared" si="46"/>
        <v>#N/A</v>
      </c>
      <c r="B203" s="74" t="e">
        <f t="shared" si="47"/>
        <v>#N/A</v>
      </c>
      <c r="C203" s="75" t="e">
        <f t="shared" si="48"/>
        <v>#N/A</v>
      </c>
      <c r="D203" s="76" t="e">
        <f t="shared" si="54"/>
        <v>#N/A</v>
      </c>
      <c r="E203" s="76" t="e">
        <f t="shared" si="49"/>
        <v>#N/A</v>
      </c>
      <c r="F203" s="76" t="e">
        <f t="shared" si="44"/>
        <v>#N/A</v>
      </c>
      <c r="G203" s="76" t="e">
        <f t="shared" si="50"/>
        <v>#N/A</v>
      </c>
      <c r="H203" s="76" t="e">
        <f t="shared" si="51"/>
        <v>#N/A</v>
      </c>
      <c r="I203" s="76" t="e">
        <f t="shared" si="52"/>
        <v>#N/A</v>
      </c>
      <c r="J203" s="78" t="e">
        <f t="shared" si="53"/>
        <v>#N/A</v>
      </c>
      <c r="K203" s="78" t="e">
        <f t="shared" si="45"/>
        <v>#N/A</v>
      </c>
    </row>
    <row r="204" spans="1:11">
      <c r="A204" s="74" t="e">
        <f t="shared" si="46"/>
        <v>#N/A</v>
      </c>
      <c r="B204" s="74" t="e">
        <f t="shared" si="47"/>
        <v>#N/A</v>
      </c>
      <c r="C204" s="75" t="e">
        <f t="shared" si="48"/>
        <v>#N/A</v>
      </c>
      <c r="D204" s="76" t="e">
        <f t="shared" si="54"/>
        <v>#N/A</v>
      </c>
      <c r="E204" s="76" t="e">
        <f t="shared" si="49"/>
        <v>#N/A</v>
      </c>
      <c r="F204" s="76" t="e">
        <f t="shared" si="44"/>
        <v>#N/A</v>
      </c>
      <c r="G204" s="76" t="e">
        <f t="shared" si="50"/>
        <v>#N/A</v>
      </c>
      <c r="H204" s="76" t="e">
        <f t="shared" si="51"/>
        <v>#N/A</v>
      </c>
      <c r="I204" s="76" t="e">
        <f t="shared" si="52"/>
        <v>#N/A</v>
      </c>
      <c r="J204" s="78" t="e">
        <f t="shared" si="53"/>
        <v>#N/A</v>
      </c>
      <c r="K204" s="78" t="e">
        <f t="shared" si="45"/>
        <v>#N/A</v>
      </c>
    </row>
    <row r="205" spans="1:11">
      <c r="A205" s="77"/>
      <c r="B205" s="77"/>
      <c r="C205" s="77"/>
      <c r="D205" s="77"/>
      <c r="E205" s="77"/>
      <c r="F205" s="77"/>
      <c r="G205" s="77"/>
      <c r="H205" s="77"/>
      <c r="I205" s="77"/>
      <c r="J205" s="77"/>
      <c r="K205" s="77"/>
    </row>
  </sheetData>
  <mergeCells count="3">
    <mergeCell ref="A1:K1"/>
    <mergeCell ref="B3:E3"/>
    <mergeCell ref="H3:I3"/>
  </mergeCells>
  <conditionalFormatting sqref="K19">
    <cfRule type="cellIs" dxfId="0" priority="1" operator="lessThan">
      <formula>$E$10</formula>
    </cfRule>
  </conditionalFormatting>
  <conditionalFormatting sqref="K21">
    <cfRule type="expression" dxfId="1" priority="5" stopIfTrue="1">
      <formula>randrate</formula>
    </cfRule>
  </conditionalFormatting>
  <conditionalFormatting sqref="K22">
    <cfRule type="expression" dxfId="2" priority="2">
      <formula>($K$19+$K$22)&gt;$E$10+$E$11</formula>
    </cfRule>
  </conditionalFormatting>
  <conditionalFormatting sqref="E15:E17">
    <cfRule type="expression" dxfId="1" priority="9" stopIfTrue="1">
      <formula>randrate</formula>
    </cfRule>
  </conditionalFormatting>
  <conditionalFormatting sqref="A49:K123 A130:K204">
    <cfRule type="expression" dxfId="3" priority="10" stopIfTrue="1">
      <formula>ISERROR(A49)</formula>
    </cfRule>
    <cfRule type="expression" dxfId="4" priority="11" stopIfTrue="1">
      <formula>MOD(ROW(),2)=1</formula>
    </cfRule>
  </conditionalFormatting>
  <dataValidations count="2">
    <dataValidation type="list" allowBlank="1" showInputMessage="1" showErrorMessage="1" sqref="E43">
      <formula1>"12,24,26,52,13,4,2,1"</formula1>
    </dataValidation>
    <dataValidation type="list" allowBlank="1" showInputMessage="1" showErrorMessage="1" sqref="E44">
      <formula1>"0,1"</formula1>
    </dataValidation>
  </dataValidations>
  <printOptions horizontalCentered="1"/>
  <pageMargins left="0.5" right="0.5" top="0.5" bottom="0.5" header="0.5" footer="0.25"/>
  <pageSetup paperSize="1" scale="93" fitToHeight="0" orientation="portrait"/>
  <headerFooter scaleWithDoc="0">
    <firstFooter>&amp;R&amp;"Arial,Regular"&amp;8Page &amp;P of &amp;N</first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Retirement</vt:lpstr>
    </vt:vector>
  </TitlesOfParts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Retirement Calculator</dc:title>
  <cp:lastModifiedBy>小天使</cp:lastModifiedBy>
  <cp:lastPrinted>2016-07-20T20:58:00Z</cp:lastPrinted>
  <dcterms:created xsi:type="dcterms:W3CDTF">2005-04-02T20:59:00Z</dcterms:created>
  <dcterms:modified xsi:type="dcterms:W3CDTF">2019-08-09T03:40:21Z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2015-2018 Vertex42 LLC</vt:lpwstr>
  </property>
  <property fmtid="{D5CDD505-2E9C-101B-9397-08002B2CF9AE}" pid="3" name="Version">
    <vt:lpwstr>1.0.7</vt:lpwstr>
  </property>
  <property fmtid="{D5CDD505-2E9C-101B-9397-08002B2CF9AE}" pid="4" name="KSOProductBuildVer">
    <vt:lpwstr>2052-11.1.0.8696</vt:lpwstr>
  </property>
</Properties>
</file>